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WL aktuell\"/>
    </mc:Choice>
  </mc:AlternateContent>
  <bookViews>
    <workbookView xWindow="0" yWindow="0" windowWidth="23040" windowHeight="8808"/>
  </bookViews>
  <sheets>
    <sheet name="Allgemein" sheetId="1" r:id="rId1"/>
    <sheet name="Struktur" sheetId="2" r:id="rId2"/>
    <sheet name="Bilanz" sheetId="3" r:id="rId3"/>
    <sheet name="GuV" sheetId="4" r:id="rId4"/>
    <sheet name="Lohnansatz" sheetId="5" r:id="rId5"/>
    <sheet name="Lohnkalk" sheetId="6" r:id="rId6"/>
    <sheet name="BDL" sheetId="7" r:id="rId7"/>
    <sheet name="Boden" sheetId="8" r:id="rId8"/>
    <sheet name="Gebäude" sheetId="9" r:id="rId9"/>
    <sheet name="Planung GHK" sheetId="10" r:id="rId10"/>
    <sheet name="Gewächshäuser" sheetId="11" r:id="rId11"/>
    <sheet name="EK-Maschinen" sheetId="12" r:id="rId12"/>
    <sheet name="Fuhrpark" sheetId="13" r:id="rId13"/>
    <sheet name="Arbeit&amp;Material" sheetId="14" r:id="rId14"/>
    <sheet name="Heiz" sheetId="15" r:id="rId15"/>
    <sheet name="Kultur" sheetId="16" r:id="rId16"/>
  </sheets>
  <definedNames>
    <definedName name="Arbeitskräfte">BDL!$H$6:$H$13</definedName>
    <definedName name="Arbeitsleistungen">'Arbeit&amp;Material'!$F$3:$F$50</definedName>
    <definedName name="Excel_BuiltIn__FilterDatabase_14">Heiz!$A$19:$O$71</definedName>
    <definedName name="Gewächshaus">Gewächshäuser!$B$2:$M$2</definedName>
    <definedName name="Maschinen">'EK-Maschinen'!$B$2:$Z$2</definedName>
    <definedName name="Material">'Arbeit&amp;Material'!$A$3:$A$300</definedName>
  </definedNames>
  <calcPr calcId="152511" fullCalcOnLoad="1"/>
</workbook>
</file>

<file path=xl/calcChain.xml><?xml version="1.0" encoding="utf-8"?>
<calcChain xmlns="http://schemas.openxmlformats.org/spreadsheetml/2006/main">
  <c r="C76" i="16" l="1"/>
  <c r="D76" i="16" s="1"/>
  <c r="C75" i="16"/>
  <c r="D75" i="16" s="1"/>
  <c r="C74" i="16"/>
  <c r="C64" i="16"/>
  <c r="D64" i="16" s="1"/>
  <c r="C63" i="16"/>
  <c r="D63" i="16" s="1"/>
  <c r="C57" i="16"/>
  <c r="D57" i="16" s="1"/>
  <c r="C56" i="16"/>
  <c r="D56" i="16" s="1"/>
  <c r="C55" i="16"/>
  <c r="D55" i="16" s="1"/>
  <c r="C54" i="16"/>
  <c r="D54" i="16" s="1"/>
  <c r="C53" i="16"/>
  <c r="D53" i="16" s="1"/>
  <c r="C52" i="16"/>
  <c r="D52" i="16" s="1"/>
  <c r="D51" i="16"/>
  <c r="C51" i="16"/>
  <c r="C50" i="16"/>
  <c r="C49" i="16"/>
  <c r="C48" i="16"/>
  <c r="C47" i="16"/>
  <c r="C40" i="16"/>
  <c r="D40" i="16" s="1"/>
  <c r="C39" i="16"/>
  <c r="D39" i="16" s="1"/>
  <c r="C38" i="16"/>
  <c r="D38" i="16" s="1"/>
  <c r="D37" i="16"/>
  <c r="C37" i="16"/>
  <c r="C36" i="16"/>
  <c r="D36" i="16" s="1"/>
  <c r="C35" i="16"/>
  <c r="D35" i="16" s="1"/>
  <c r="C34" i="16"/>
  <c r="D34" i="16" s="1"/>
  <c r="C33" i="16"/>
  <c r="D33" i="16" s="1"/>
  <c r="C32" i="16"/>
  <c r="D32" i="16" s="1"/>
  <c r="C31" i="16"/>
  <c r="D31" i="16" s="1"/>
  <c r="E17" i="16"/>
  <c r="D17" i="16" s="1"/>
  <c r="E16" i="16"/>
  <c r="E15" i="16"/>
  <c r="E14" i="16"/>
  <c r="E13" i="16"/>
  <c r="E12" i="16"/>
  <c r="E8" i="16"/>
  <c r="D8" i="16" s="1"/>
  <c r="A12" i="7"/>
  <c r="A11" i="7"/>
  <c r="A69" i="6"/>
  <c r="A68" i="6"/>
  <c r="H80" i="4"/>
  <c r="F80" i="4"/>
  <c r="B80" i="4"/>
  <c r="A80" i="4"/>
  <c r="A79" i="4"/>
  <c r="H78" i="4"/>
  <c r="F78" i="4"/>
  <c r="B78" i="4"/>
  <c r="A78" i="4"/>
  <c r="A77" i="4"/>
  <c r="H76" i="4"/>
  <c r="F76" i="4"/>
  <c r="B76" i="4"/>
  <c r="A76" i="4"/>
  <c r="A75" i="4"/>
  <c r="A74" i="4"/>
  <c r="B1" i="2"/>
  <c r="C83" i="16"/>
  <c r="K63" i="16" s="1"/>
  <c r="K64" i="16" s="1"/>
  <c r="D74" i="16"/>
  <c r="B66" i="16"/>
  <c r="C66" i="16" s="1"/>
  <c r="D66" i="16" s="1"/>
  <c r="B65" i="16"/>
  <c r="C65" i="16" s="1"/>
  <c r="D65" i="16" s="1"/>
  <c r="B64" i="16"/>
  <c r="B63" i="16"/>
  <c r="B62" i="16"/>
  <c r="B57" i="16"/>
  <c r="B56" i="16"/>
  <c r="J55" i="16"/>
  <c r="B55" i="16"/>
  <c r="J54" i="16"/>
  <c r="B54" i="16"/>
  <c r="J53" i="16"/>
  <c r="B53" i="16"/>
  <c r="J52" i="16"/>
  <c r="B52" i="16"/>
  <c r="J51" i="16"/>
  <c r="B51" i="16"/>
  <c r="J50" i="16"/>
  <c r="B50" i="16"/>
  <c r="J49" i="16"/>
  <c r="B49" i="16"/>
  <c r="J48" i="16"/>
  <c r="B48" i="16"/>
  <c r="J47" i="16"/>
  <c r="B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B61" i="16" s="1"/>
  <c r="J21" i="16"/>
  <c r="J20" i="16"/>
  <c r="J19" i="16"/>
  <c r="J18" i="16"/>
  <c r="J17" i="16"/>
  <c r="C17" i="16"/>
  <c r="J16" i="16"/>
  <c r="D16" i="16"/>
  <c r="C16" i="16"/>
  <c r="J15" i="16"/>
  <c r="C15" i="16"/>
  <c r="D15" i="16" s="1"/>
  <c r="J14" i="16"/>
  <c r="C14" i="16"/>
  <c r="D14" i="16" s="1"/>
  <c r="J13" i="16"/>
  <c r="C13" i="16"/>
  <c r="D13" i="16" s="1"/>
  <c r="J12" i="16"/>
  <c r="C12" i="16"/>
  <c r="D12" i="16" s="1"/>
  <c r="J11" i="16"/>
  <c r="C11" i="16"/>
  <c r="D11" i="16" s="1"/>
  <c r="J10" i="16"/>
  <c r="C10" i="16"/>
  <c r="J9" i="16"/>
  <c r="C9" i="16"/>
  <c r="J8" i="16"/>
  <c r="C8" i="16"/>
  <c r="J7" i="16"/>
  <c r="J6" i="16"/>
  <c r="J5" i="16"/>
  <c r="J4" i="16"/>
  <c r="N157" i="15"/>
  <c r="M157" i="15"/>
  <c r="L157" i="15"/>
  <c r="K157" i="15"/>
  <c r="J157" i="15"/>
  <c r="I157" i="15"/>
  <c r="H157" i="15"/>
  <c r="G157" i="15"/>
  <c r="N147" i="15"/>
  <c r="M147" i="15"/>
  <c r="L147" i="15"/>
  <c r="K147" i="15"/>
  <c r="J147" i="15"/>
  <c r="I147" i="15"/>
  <c r="H147" i="15"/>
  <c r="G147" i="15"/>
  <c r="O143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AA142" i="15"/>
  <c r="Z142" i="15"/>
  <c r="Y142" i="15"/>
  <c r="W142" i="15"/>
  <c r="V142" i="15"/>
  <c r="X142" i="15" s="1"/>
  <c r="T142" i="15"/>
  <c r="S142" i="15"/>
  <c r="U142" i="15" s="1"/>
  <c r="R142" i="15"/>
  <c r="Q142" i="15"/>
  <c r="P142" i="15"/>
  <c r="AA141" i="15"/>
  <c r="Z141" i="15"/>
  <c r="Y141" i="15"/>
  <c r="X141" i="15"/>
  <c r="W141" i="15"/>
  <c r="V141" i="15"/>
  <c r="U141" i="15"/>
  <c r="T141" i="15"/>
  <c r="S141" i="15"/>
  <c r="Q141" i="15"/>
  <c r="P141" i="15"/>
  <c r="R141" i="15" s="1"/>
  <c r="AA140" i="15"/>
  <c r="Z140" i="15"/>
  <c r="Y140" i="15"/>
  <c r="W140" i="15"/>
  <c r="V140" i="15"/>
  <c r="X140" i="15" s="1"/>
  <c r="T140" i="15"/>
  <c r="S140" i="15"/>
  <c r="U140" i="15" s="1"/>
  <c r="R140" i="15"/>
  <c r="Q140" i="15"/>
  <c r="P140" i="15"/>
  <c r="AA139" i="15"/>
  <c r="Z139" i="15"/>
  <c r="Y139" i="15"/>
  <c r="X139" i="15"/>
  <c r="W139" i="15"/>
  <c r="V139" i="15"/>
  <c r="U139" i="15"/>
  <c r="T139" i="15"/>
  <c r="S139" i="15"/>
  <c r="Q139" i="15"/>
  <c r="P139" i="15"/>
  <c r="R139" i="15" s="1"/>
  <c r="AA138" i="15"/>
  <c r="Z138" i="15"/>
  <c r="Y138" i="15"/>
  <c r="W138" i="15"/>
  <c r="V138" i="15"/>
  <c r="X138" i="15" s="1"/>
  <c r="T138" i="15"/>
  <c r="S138" i="15"/>
  <c r="U138" i="15" s="1"/>
  <c r="R138" i="15"/>
  <c r="Q138" i="15"/>
  <c r="P138" i="15"/>
  <c r="AA137" i="15"/>
  <c r="Z137" i="15"/>
  <c r="Y137" i="15"/>
  <c r="X137" i="15"/>
  <c r="W137" i="15"/>
  <c r="V137" i="15"/>
  <c r="U137" i="15"/>
  <c r="T137" i="15"/>
  <c r="S137" i="15"/>
  <c r="R137" i="15"/>
  <c r="Q137" i="15"/>
  <c r="P137" i="15"/>
  <c r="AA136" i="15"/>
  <c r="Z136" i="15"/>
  <c r="Y136" i="15"/>
  <c r="W136" i="15"/>
  <c r="V136" i="15"/>
  <c r="X136" i="15" s="1"/>
  <c r="T136" i="15"/>
  <c r="S136" i="15"/>
  <c r="U136" i="15" s="1"/>
  <c r="R136" i="15"/>
  <c r="Q136" i="15"/>
  <c r="P136" i="15"/>
  <c r="AA135" i="15"/>
  <c r="Z135" i="15"/>
  <c r="Y135" i="15"/>
  <c r="X135" i="15"/>
  <c r="W135" i="15"/>
  <c r="V135" i="15"/>
  <c r="U135" i="15"/>
  <c r="T135" i="15"/>
  <c r="S135" i="15"/>
  <c r="R135" i="15"/>
  <c r="Q135" i="15"/>
  <c r="P135" i="15"/>
  <c r="AA134" i="15"/>
  <c r="Z134" i="15"/>
  <c r="Y134" i="15"/>
  <c r="W134" i="15"/>
  <c r="V134" i="15"/>
  <c r="X134" i="15" s="1"/>
  <c r="T134" i="15"/>
  <c r="S134" i="15"/>
  <c r="U134" i="15" s="1"/>
  <c r="R134" i="15"/>
  <c r="Q134" i="15"/>
  <c r="P134" i="15"/>
  <c r="AA133" i="15"/>
  <c r="Z133" i="15"/>
  <c r="Y133" i="15"/>
  <c r="X133" i="15"/>
  <c r="W133" i="15"/>
  <c r="V133" i="15"/>
  <c r="U133" i="15"/>
  <c r="T133" i="15"/>
  <c r="S133" i="15"/>
  <c r="Q133" i="15"/>
  <c r="P133" i="15"/>
  <c r="R133" i="15" s="1"/>
  <c r="AA132" i="15"/>
  <c r="Z132" i="15"/>
  <c r="Y132" i="15"/>
  <c r="W132" i="15"/>
  <c r="V132" i="15"/>
  <c r="X132" i="15" s="1"/>
  <c r="T132" i="15"/>
  <c r="S132" i="15"/>
  <c r="U132" i="15" s="1"/>
  <c r="R132" i="15"/>
  <c r="Q132" i="15"/>
  <c r="P132" i="15"/>
  <c r="AA131" i="15"/>
  <c r="Z131" i="15"/>
  <c r="Y131" i="15"/>
  <c r="X131" i="15"/>
  <c r="W131" i="15"/>
  <c r="V131" i="15"/>
  <c r="U131" i="15"/>
  <c r="T131" i="15"/>
  <c r="S131" i="15"/>
  <c r="Q131" i="15"/>
  <c r="P131" i="15"/>
  <c r="R131" i="15" s="1"/>
  <c r="AA130" i="15"/>
  <c r="Z130" i="15"/>
  <c r="Y130" i="15"/>
  <c r="W130" i="15"/>
  <c r="V130" i="15"/>
  <c r="X130" i="15" s="1"/>
  <c r="T130" i="15"/>
  <c r="S130" i="15"/>
  <c r="U130" i="15" s="1"/>
  <c r="R130" i="15"/>
  <c r="Q130" i="15"/>
  <c r="P130" i="15"/>
  <c r="AA129" i="15"/>
  <c r="Z129" i="15"/>
  <c r="Y129" i="15"/>
  <c r="X129" i="15"/>
  <c r="W129" i="15"/>
  <c r="V129" i="15"/>
  <c r="U129" i="15"/>
  <c r="T129" i="15"/>
  <c r="S129" i="15"/>
  <c r="Q129" i="15"/>
  <c r="P129" i="15"/>
  <c r="R129" i="15" s="1"/>
  <c r="AA128" i="15"/>
  <c r="Z128" i="15"/>
  <c r="Y128" i="15"/>
  <c r="W128" i="15"/>
  <c r="V128" i="15"/>
  <c r="X128" i="15" s="1"/>
  <c r="T128" i="15"/>
  <c r="S128" i="15"/>
  <c r="U128" i="15" s="1"/>
  <c r="R128" i="15"/>
  <c r="Q128" i="15"/>
  <c r="P128" i="15"/>
  <c r="AA127" i="15"/>
  <c r="Z127" i="15"/>
  <c r="Y127" i="15"/>
  <c r="X127" i="15"/>
  <c r="W127" i="15"/>
  <c r="V127" i="15"/>
  <c r="U127" i="15"/>
  <c r="T127" i="15"/>
  <c r="S127" i="15"/>
  <c r="R127" i="15"/>
  <c r="Q127" i="15"/>
  <c r="P127" i="15"/>
  <c r="AA126" i="15"/>
  <c r="Z126" i="15"/>
  <c r="Y126" i="15"/>
  <c r="W126" i="15"/>
  <c r="V126" i="15"/>
  <c r="X126" i="15" s="1"/>
  <c r="T126" i="15"/>
  <c r="S126" i="15"/>
  <c r="U126" i="15" s="1"/>
  <c r="R126" i="15"/>
  <c r="Q126" i="15"/>
  <c r="P126" i="15"/>
  <c r="AA125" i="15"/>
  <c r="Z125" i="15"/>
  <c r="Y125" i="15"/>
  <c r="X125" i="15"/>
  <c r="W125" i="15"/>
  <c r="V125" i="15"/>
  <c r="U125" i="15"/>
  <c r="T125" i="15"/>
  <c r="S125" i="15"/>
  <c r="Q125" i="15"/>
  <c r="P125" i="15"/>
  <c r="R125" i="15" s="1"/>
  <c r="AA124" i="15"/>
  <c r="Z124" i="15"/>
  <c r="Y124" i="15"/>
  <c r="W124" i="15"/>
  <c r="V124" i="15"/>
  <c r="X124" i="15" s="1"/>
  <c r="T124" i="15"/>
  <c r="S124" i="15"/>
  <c r="U124" i="15" s="1"/>
  <c r="R124" i="15"/>
  <c r="Q124" i="15"/>
  <c r="P124" i="15"/>
  <c r="AA123" i="15"/>
  <c r="Z123" i="15"/>
  <c r="Y123" i="15"/>
  <c r="X123" i="15"/>
  <c r="W123" i="15"/>
  <c r="V123" i="15"/>
  <c r="U123" i="15"/>
  <c r="T123" i="15"/>
  <c r="S123" i="15"/>
  <c r="Q123" i="15"/>
  <c r="P123" i="15"/>
  <c r="R123" i="15" s="1"/>
  <c r="AA122" i="15"/>
  <c r="Z122" i="15"/>
  <c r="Y122" i="15"/>
  <c r="W122" i="15"/>
  <c r="V122" i="15"/>
  <c r="X122" i="15" s="1"/>
  <c r="T122" i="15"/>
  <c r="S122" i="15"/>
  <c r="U122" i="15" s="1"/>
  <c r="R122" i="15"/>
  <c r="Q122" i="15"/>
  <c r="P122" i="15"/>
  <c r="AA121" i="15"/>
  <c r="Z121" i="15"/>
  <c r="Y121" i="15"/>
  <c r="X121" i="15"/>
  <c r="W121" i="15"/>
  <c r="V121" i="15"/>
  <c r="U121" i="15"/>
  <c r="T121" i="15"/>
  <c r="S121" i="15"/>
  <c r="Q121" i="15"/>
  <c r="P121" i="15"/>
  <c r="R121" i="15" s="1"/>
  <c r="AA120" i="15"/>
  <c r="Z120" i="15"/>
  <c r="Y120" i="15"/>
  <c r="W120" i="15"/>
  <c r="V120" i="15"/>
  <c r="X120" i="15" s="1"/>
  <c r="T120" i="15"/>
  <c r="S120" i="15"/>
  <c r="U120" i="15" s="1"/>
  <c r="R120" i="15"/>
  <c r="Q120" i="15"/>
  <c r="P120" i="15"/>
  <c r="Z119" i="15"/>
  <c r="AA119" i="15" s="1"/>
  <c r="Y119" i="15"/>
  <c r="X119" i="15"/>
  <c r="W119" i="15"/>
  <c r="V119" i="15"/>
  <c r="U119" i="15"/>
  <c r="T119" i="15"/>
  <c r="S119" i="15"/>
  <c r="Q119" i="15"/>
  <c r="P119" i="15"/>
  <c r="R119" i="15" s="1"/>
  <c r="AA118" i="15"/>
  <c r="Z118" i="15"/>
  <c r="Y118" i="15"/>
  <c r="W118" i="15"/>
  <c r="V118" i="15"/>
  <c r="X118" i="15" s="1"/>
  <c r="T118" i="15"/>
  <c r="S118" i="15"/>
  <c r="U118" i="15" s="1"/>
  <c r="R118" i="15"/>
  <c r="Q118" i="15"/>
  <c r="P118" i="15"/>
  <c r="AA117" i="15"/>
  <c r="Z117" i="15"/>
  <c r="Y117" i="15"/>
  <c r="X117" i="15"/>
  <c r="W117" i="15"/>
  <c r="V117" i="15"/>
  <c r="U117" i="15"/>
  <c r="T117" i="15"/>
  <c r="S117" i="15"/>
  <c r="Q117" i="15"/>
  <c r="P117" i="15"/>
  <c r="R117" i="15" s="1"/>
  <c r="AA116" i="15"/>
  <c r="Z116" i="15"/>
  <c r="Y116" i="15"/>
  <c r="W116" i="15"/>
  <c r="V116" i="15"/>
  <c r="X116" i="15" s="1"/>
  <c r="T116" i="15"/>
  <c r="S116" i="15"/>
  <c r="U116" i="15" s="1"/>
  <c r="R116" i="15"/>
  <c r="Q116" i="15"/>
  <c r="P116" i="15"/>
  <c r="AA115" i="15"/>
  <c r="Z115" i="15"/>
  <c r="Y115" i="15"/>
  <c r="X115" i="15"/>
  <c r="W115" i="15"/>
  <c r="V115" i="15"/>
  <c r="U115" i="15"/>
  <c r="T115" i="15"/>
  <c r="S115" i="15"/>
  <c r="Q115" i="15"/>
  <c r="P115" i="15"/>
  <c r="R115" i="15" s="1"/>
  <c r="AA114" i="15"/>
  <c r="Z114" i="15"/>
  <c r="Y114" i="15"/>
  <c r="W114" i="15"/>
  <c r="V114" i="15"/>
  <c r="X114" i="15" s="1"/>
  <c r="T114" i="15"/>
  <c r="S114" i="15"/>
  <c r="U114" i="15" s="1"/>
  <c r="Q114" i="15"/>
  <c r="R114" i="15" s="1"/>
  <c r="P114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AA112" i="15"/>
  <c r="Z112" i="15"/>
  <c r="Y112" i="15"/>
  <c r="W112" i="15"/>
  <c r="V112" i="15"/>
  <c r="X112" i="15" s="1"/>
  <c r="T112" i="15"/>
  <c r="S112" i="15"/>
  <c r="U112" i="15" s="1"/>
  <c r="Q112" i="15"/>
  <c r="R112" i="15" s="1"/>
  <c r="P112" i="15"/>
  <c r="AA111" i="15"/>
  <c r="Z111" i="15"/>
  <c r="Y111" i="15"/>
  <c r="X111" i="15"/>
  <c r="W111" i="15"/>
  <c r="V111" i="15"/>
  <c r="U111" i="15"/>
  <c r="T111" i="15"/>
  <c r="S111" i="15"/>
  <c r="Q111" i="15"/>
  <c r="P111" i="15"/>
  <c r="R111" i="15" s="1"/>
  <c r="AA110" i="15"/>
  <c r="Z110" i="15"/>
  <c r="Y110" i="15"/>
  <c r="W110" i="15"/>
  <c r="V110" i="15"/>
  <c r="X110" i="15" s="1"/>
  <c r="T110" i="15"/>
  <c r="S110" i="15"/>
  <c r="U110" i="15" s="1"/>
  <c r="Q110" i="15"/>
  <c r="R110" i="15" s="1"/>
  <c r="P110" i="15"/>
  <c r="AA109" i="15"/>
  <c r="Z109" i="15"/>
  <c r="Y109" i="15"/>
  <c r="X109" i="15"/>
  <c r="W109" i="15"/>
  <c r="V109" i="15"/>
  <c r="U109" i="15"/>
  <c r="T109" i="15"/>
  <c r="S109" i="15"/>
  <c r="Q109" i="15"/>
  <c r="P109" i="15"/>
  <c r="R109" i="15" s="1"/>
  <c r="AA108" i="15"/>
  <c r="Z108" i="15"/>
  <c r="Y108" i="15"/>
  <c r="W108" i="15"/>
  <c r="V108" i="15"/>
  <c r="X108" i="15" s="1"/>
  <c r="T108" i="15"/>
  <c r="S108" i="15"/>
  <c r="U108" i="15" s="1"/>
  <c r="R108" i="15"/>
  <c r="Q108" i="15"/>
  <c r="P108" i="15"/>
  <c r="AA107" i="15"/>
  <c r="Z107" i="15"/>
  <c r="Y107" i="15"/>
  <c r="X107" i="15"/>
  <c r="W107" i="15"/>
  <c r="V107" i="15"/>
  <c r="U107" i="15"/>
  <c r="T107" i="15"/>
  <c r="S107" i="15"/>
  <c r="R107" i="15"/>
  <c r="Q107" i="15"/>
  <c r="P107" i="15"/>
  <c r="AA106" i="15"/>
  <c r="Z106" i="15"/>
  <c r="Y106" i="15"/>
  <c r="W106" i="15"/>
  <c r="V106" i="15"/>
  <c r="X106" i="15" s="1"/>
  <c r="T106" i="15"/>
  <c r="S106" i="15"/>
  <c r="U106" i="15" s="1"/>
  <c r="R106" i="15"/>
  <c r="Q106" i="15"/>
  <c r="P106" i="15"/>
  <c r="AA105" i="15"/>
  <c r="Z105" i="15"/>
  <c r="Y105" i="15"/>
  <c r="X105" i="15"/>
  <c r="W105" i="15"/>
  <c r="V105" i="15"/>
  <c r="U105" i="15"/>
  <c r="T105" i="15"/>
  <c r="S105" i="15"/>
  <c r="Q105" i="15"/>
  <c r="P105" i="15"/>
  <c r="R105" i="15" s="1"/>
  <c r="AA104" i="15"/>
  <c r="Z104" i="15"/>
  <c r="Y104" i="15"/>
  <c r="W104" i="15"/>
  <c r="V104" i="15"/>
  <c r="X104" i="15" s="1"/>
  <c r="T104" i="15"/>
  <c r="S104" i="15"/>
  <c r="U104" i="15" s="1"/>
  <c r="R104" i="15"/>
  <c r="Q104" i="15"/>
  <c r="P104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AA102" i="15"/>
  <c r="Z102" i="15"/>
  <c r="Y102" i="15"/>
  <c r="W102" i="15"/>
  <c r="V102" i="15"/>
  <c r="X102" i="15" s="1"/>
  <c r="T102" i="15"/>
  <c r="S102" i="15"/>
  <c r="U102" i="15" s="1"/>
  <c r="R102" i="15"/>
  <c r="Q102" i="15"/>
  <c r="P102" i="15"/>
  <c r="AA101" i="15"/>
  <c r="Z101" i="15"/>
  <c r="Y101" i="15"/>
  <c r="X101" i="15"/>
  <c r="W101" i="15"/>
  <c r="V101" i="15"/>
  <c r="U101" i="15"/>
  <c r="T101" i="15"/>
  <c r="S101" i="15"/>
  <c r="Q101" i="15"/>
  <c r="P101" i="15"/>
  <c r="R101" i="15" s="1"/>
  <c r="AA100" i="15"/>
  <c r="Z100" i="15"/>
  <c r="Y100" i="15"/>
  <c r="W100" i="15"/>
  <c r="V100" i="15"/>
  <c r="X100" i="15" s="1"/>
  <c r="T100" i="15"/>
  <c r="S100" i="15"/>
  <c r="U100" i="15" s="1"/>
  <c r="R100" i="15"/>
  <c r="Q100" i="15"/>
  <c r="P100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AA98" i="15"/>
  <c r="Z98" i="15"/>
  <c r="Y98" i="15"/>
  <c r="W98" i="15"/>
  <c r="V98" i="15"/>
  <c r="X98" i="15" s="1"/>
  <c r="T98" i="15"/>
  <c r="S98" i="15"/>
  <c r="U98" i="15" s="1"/>
  <c r="R98" i="15"/>
  <c r="Q98" i="15"/>
  <c r="P98" i="15"/>
  <c r="AA97" i="15"/>
  <c r="Z97" i="15"/>
  <c r="Y97" i="15"/>
  <c r="X97" i="15"/>
  <c r="W97" i="15"/>
  <c r="V97" i="15"/>
  <c r="U97" i="15"/>
  <c r="T97" i="15"/>
  <c r="S97" i="15"/>
  <c r="Q97" i="15"/>
  <c r="P97" i="15"/>
  <c r="R97" i="15" s="1"/>
  <c r="AA96" i="15"/>
  <c r="Z96" i="15"/>
  <c r="Y96" i="15"/>
  <c r="W96" i="15"/>
  <c r="V96" i="15"/>
  <c r="X96" i="15" s="1"/>
  <c r="T96" i="15"/>
  <c r="S96" i="15"/>
  <c r="U96" i="15" s="1"/>
  <c r="R96" i="15"/>
  <c r="Q96" i="15"/>
  <c r="P96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AA94" i="15"/>
  <c r="Z94" i="15"/>
  <c r="Y94" i="15"/>
  <c r="W94" i="15"/>
  <c r="V94" i="15"/>
  <c r="X94" i="15" s="1"/>
  <c r="T94" i="15"/>
  <c r="S94" i="15"/>
  <c r="U94" i="15" s="1"/>
  <c r="R94" i="15"/>
  <c r="Q94" i="15"/>
  <c r="P94" i="15"/>
  <c r="AA93" i="15"/>
  <c r="Z93" i="15"/>
  <c r="Y93" i="15"/>
  <c r="X93" i="15"/>
  <c r="W93" i="15"/>
  <c r="V93" i="15"/>
  <c r="U93" i="15"/>
  <c r="T93" i="15"/>
  <c r="S93" i="15"/>
  <c r="Q93" i="15"/>
  <c r="P93" i="15"/>
  <c r="R93" i="15" s="1"/>
  <c r="AA92" i="15"/>
  <c r="Z92" i="15"/>
  <c r="Y92" i="15"/>
  <c r="W92" i="15"/>
  <c r="V92" i="15"/>
  <c r="X92" i="15" s="1"/>
  <c r="T92" i="15"/>
  <c r="S92" i="15"/>
  <c r="U92" i="15" s="1"/>
  <c r="R92" i="15"/>
  <c r="Q92" i="15"/>
  <c r="P92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AA86" i="15"/>
  <c r="Z86" i="15"/>
  <c r="Y86" i="15"/>
  <c r="W86" i="15"/>
  <c r="V86" i="15"/>
  <c r="X86" i="15" s="1"/>
  <c r="U86" i="15"/>
  <c r="T86" i="15"/>
  <c r="S86" i="15"/>
  <c r="Q86" i="15"/>
  <c r="P86" i="15"/>
  <c r="R86" i="15" s="1"/>
  <c r="Z85" i="15"/>
  <c r="Y85" i="15"/>
  <c r="AA85" i="15" s="1"/>
  <c r="X85" i="15"/>
  <c r="W85" i="15"/>
  <c r="V85" i="15"/>
  <c r="U85" i="15"/>
  <c r="T85" i="15"/>
  <c r="S85" i="15"/>
  <c r="Q85" i="15"/>
  <c r="P85" i="15"/>
  <c r="R85" i="15" s="1"/>
  <c r="AA84" i="15"/>
  <c r="Z84" i="15"/>
  <c r="Y84" i="15"/>
  <c r="W84" i="15"/>
  <c r="V84" i="15"/>
  <c r="X84" i="15" s="1"/>
  <c r="U84" i="15"/>
  <c r="T84" i="15"/>
  <c r="S84" i="15"/>
  <c r="Q84" i="15"/>
  <c r="P84" i="15"/>
  <c r="R84" i="15" s="1"/>
  <c r="Z83" i="15"/>
  <c r="Y83" i="15"/>
  <c r="AA83" i="15" s="1"/>
  <c r="X83" i="15"/>
  <c r="W83" i="15"/>
  <c r="V83" i="15"/>
  <c r="U83" i="15"/>
  <c r="T83" i="15"/>
  <c r="S83" i="15"/>
  <c r="Q83" i="15"/>
  <c r="P83" i="15"/>
  <c r="R83" i="15" s="1"/>
  <c r="Z82" i="15"/>
  <c r="Y82" i="15"/>
  <c r="AA82" i="15" s="1"/>
  <c r="W82" i="15"/>
  <c r="V82" i="15"/>
  <c r="X82" i="15" s="1"/>
  <c r="U82" i="15"/>
  <c r="T82" i="15"/>
  <c r="S82" i="15"/>
  <c r="Q82" i="15"/>
  <c r="P82" i="15"/>
  <c r="R82" i="15" s="1"/>
  <c r="Z81" i="15"/>
  <c r="Y81" i="15"/>
  <c r="AA81" i="15" s="1"/>
  <c r="X81" i="15"/>
  <c r="W81" i="15"/>
  <c r="V81" i="15"/>
  <c r="U81" i="15"/>
  <c r="T81" i="15"/>
  <c r="S81" i="15"/>
  <c r="Q81" i="15"/>
  <c r="P81" i="15"/>
  <c r="R81" i="15" s="1"/>
  <c r="Z80" i="15"/>
  <c r="Y80" i="15"/>
  <c r="AA80" i="15" s="1"/>
  <c r="W80" i="15"/>
  <c r="V80" i="15"/>
  <c r="X80" i="15" s="1"/>
  <c r="U80" i="15"/>
  <c r="T80" i="15"/>
  <c r="S80" i="15"/>
  <c r="Q80" i="15"/>
  <c r="P80" i="15"/>
  <c r="R80" i="15" s="1"/>
  <c r="Z79" i="15"/>
  <c r="Y79" i="15"/>
  <c r="AA79" i="15" s="1"/>
  <c r="X79" i="15"/>
  <c r="W79" i="15"/>
  <c r="V79" i="15"/>
  <c r="U79" i="15"/>
  <c r="T79" i="15"/>
  <c r="S79" i="15"/>
  <c r="R79" i="15"/>
  <c r="Q79" i="15"/>
  <c r="P79" i="15"/>
  <c r="Z78" i="15"/>
  <c r="Y78" i="15"/>
  <c r="AA78" i="15" s="1"/>
  <c r="W78" i="15"/>
  <c r="V78" i="15"/>
  <c r="X78" i="15" s="1"/>
  <c r="T78" i="15"/>
  <c r="S78" i="15"/>
  <c r="U78" i="15" s="1"/>
  <c r="Q78" i="15"/>
  <c r="P78" i="15"/>
  <c r="R78" i="15" s="1"/>
  <c r="Z77" i="15"/>
  <c r="Y77" i="15"/>
  <c r="AA77" i="15" s="1"/>
  <c r="X77" i="15"/>
  <c r="W77" i="15"/>
  <c r="V77" i="15"/>
  <c r="U77" i="15"/>
  <c r="T77" i="15"/>
  <c r="S77" i="15"/>
  <c r="Q77" i="15"/>
  <c r="P77" i="15"/>
  <c r="R77" i="15" s="1"/>
  <c r="Z76" i="15"/>
  <c r="Y76" i="15"/>
  <c r="AA76" i="15" s="1"/>
  <c r="X76" i="15"/>
  <c r="W76" i="15"/>
  <c r="V76" i="15"/>
  <c r="T76" i="15"/>
  <c r="S76" i="15"/>
  <c r="U76" i="15" s="1"/>
  <c r="Q76" i="15"/>
  <c r="P76" i="15"/>
  <c r="R76" i="15" s="1"/>
  <c r="Z75" i="15"/>
  <c r="Y75" i="15"/>
  <c r="AA75" i="15" s="1"/>
  <c r="X75" i="15"/>
  <c r="W75" i="15"/>
  <c r="V75" i="15"/>
  <c r="U75" i="15"/>
  <c r="T75" i="15"/>
  <c r="S75" i="15"/>
  <c r="R75" i="15"/>
  <c r="Q75" i="15"/>
  <c r="P75" i="15"/>
  <c r="Z74" i="15"/>
  <c r="Y74" i="15"/>
  <c r="AA74" i="15" s="1"/>
  <c r="X74" i="15"/>
  <c r="W74" i="15"/>
  <c r="V74" i="15"/>
  <c r="U74" i="15"/>
  <c r="T74" i="15"/>
  <c r="S74" i="15"/>
  <c r="Q74" i="15"/>
  <c r="P74" i="15"/>
  <c r="R74" i="15" s="1"/>
  <c r="Z73" i="15"/>
  <c r="Y73" i="15"/>
  <c r="AA73" i="15" s="1"/>
  <c r="X73" i="15"/>
  <c r="W73" i="15"/>
  <c r="V73" i="15"/>
  <c r="U73" i="15"/>
  <c r="T73" i="15"/>
  <c r="S73" i="15"/>
  <c r="R73" i="15"/>
  <c r="Q73" i="15"/>
  <c r="P73" i="15"/>
  <c r="AA72" i="15"/>
  <c r="Z72" i="15"/>
  <c r="Y72" i="15"/>
  <c r="X72" i="15"/>
  <c r="W72" i="15"/>
  <c r="V72" i="15"/>
  <c r="T72" i="15"/>
  <c r="S72" i="15"/>
  <c r="U72" i="15" s="1"/>
  <c r="Q72" i="15"/>
  <c r="P72" i="15"/>
  <c r="R72" i="15" s="1"/>
  <c r="Z71" i="15"/>
  <c r="Y71" i="15"/>
  <c r="AA71" i="15" s="1"/>
  <c r="X71" i="15"/>
  <c r="W71" i="15"/>
  <c r="V71" i="15"/>
  <c r="U71" i="15"/>
  <c r="T71" i="15"/>
  <c r="S71" i="15"/>
  <c r="R71" i="15"/>
  <c r="Q71" i="15"/>
  <c r="P71" i="15"/>
  <c r="Z70" i="15"/>
  <c r="Y70" i="15"/>
  <c r="AA70" i="15" s="1"/>
  <c r="W70" i="15"/>
  <c r="V70" i="15"/>
  <c r="X70" i="15" s="1"/>
  <c r="T70" i="15"/>
  <c r="S70" i="15"/>
  <c r="U70" i="15" s="1"/>
  <c r="Q70" i="15"/>
  <c r="P70" i="15"/>
  <c r="R70" i="15" s="1"/>
  <c r="Z69" i="15"/>
  <c r="Y69" i="15"/>
  <c r="AA69" i="15" s="1"/>
  <c r="X69" i="15"/>
  <c r="W69" i="15"/>
  <c r="V69" i="15"/>
  <c r="U69" i="15"/>
  <c r="T69" i="15"/>
  <c r="S69" i="15"/>
  <c r="Q69" i="15"/>
  <c r="P69" i="15"/>
  <c r="R69" i="15" s="1"/>
  <c r="Z68" i="15"/>
  <c r="Y68" i="15"/>
  <c r="AA68" i="15" s="1"/>
  <c r="X68" i="15"/>
  <c r="W68" i="15"/>
  <c r="V68" i="15"/>
  <c r="U68" i="15"/>
  <c r="T68" i="15"/>
  <c r="S68" i="15"/>
  <c r="Q68" i="15"/>
  <c r="P68" i="15"/>
  <c r="R68" i="15" s="1"/>
  <c r="Z67" i="15"/>
  <c r="Y67" i="15"/>
  <c r="AA67" i="15" s="1"/>
  <c r="X67" i="15"/>
  <c r="W67" i="15"/>
  <c r="V67" i="15"/>
  <c r="U67" i="15"/>
  <c r="T67" i="15"/>
  <c r="S67" i="15"/>
  <c r="R67" i="15"/>
  <c r="Q67" i="15"/>
  <c r="P67" i="15"/>
  <c r="Z66" i="15"/>
  <c r="Y66" i="15"/>
  <c r="AA66" i="15" s="1"/>
  <c r="X66" i="15"/>
  <c r="W66" i="15"/>
  <c r="V66" i="15"/>
  <c r="U66" i="15"/>
  <c r="T66" i="15"/>
  <c r="S66" i="15"/>
  <c r="Q66" i="15"/>
  <c r="P66" i="15"/>
  <c r="R66" i="15" s="1"/>
  <c r="Z65" i="15"/>
  <c r="Y65" i="15"/>
  <c r="AA65" i="15" s="1"/>
  <c r="X65" i="15"/>
  <c r="W65" i="15"/>
  <c r="V65" i="15"/>
  <c r="U65" i="15"/>
  <c r="T65" i="15"/>
  <c r="S65" i="15"/>
  <c r="Q65" i="15"/>
  <c r="P65" i="15"/>
  <c r="R65" i="15" s="1"/>
  <c r="AA64" i="15"/>
  <c r="Z64" i="15"/>
  <c r="Y64" i="15"/>
  <c r="X64" i="15"/>
  <c r="W64" i="15"/>
  <c r="V64" i="15"/>
  <c r="T64" i="15"/>
  <c r="S64" i="15"/>
  <c r="U64" i="15" s="1"/>
  <c r="Q64" i="15"/>
  <c r="P64" i="15"/>
  <c r="R64" i="15" s="1"/>
  <c r="Z63" i="15"/>
  <c r="Y63" i="15"/>
  <c r="X63" i="15"/>
  <c r="W63" i="15"/>
  <c r="V63" i="15"/>
  <c r="U63" i="15"/>
  <c r="T63" i="15"/>
  <c r="S63" i="15"/>
  <c r="R63" i="15"/>
  <c r="Q63" i="15"/>
  <c r="P63" i="15"/>
  <c r="Z62" i="15"/>
  <c r="Y62" i="15"/>
  <c r="AA62" i="15" s="1"/>
  <c r="W62" i="15"/>
  <c r="V62" i="15"/>
  <c r="X62" i="15" s="1"/>
  <c r="T62" i="15"/>
  <c r="S62" i="15"/>
  <c r="U62" i="15" s="1"/>
  <c r="Q62" i="15"/>
  <c r="P62" i="15"/>
  <c r="R62" i="15" s="1"/>
  <c r="Z61" i="15"/>
  <c r="Y61" i="15"/>
  <c r="AA61" i="15" s="1"/>
  <c r="X61" i="15"/>
  <c r="W61" i="15"/>
  <c r="V61" i="15"/>
  <c r="U61" i="15"/>
  <c r="T61" i="15"/>
  <c r="S61" i="15"/>
  <c r="Q61" i="15"/>
  <c r="P61" i="15"/>
  <c r="R61" i="15" s="1"/>
  <c r="Z60" i="15"/>
  <c r="Y60" i="15"/>
  <c r="AA60" i="15" s="1"/>
  <c r="X60" i="15"/>
  <c r="W60" i="15"/>
  <c r="V60" i="15"/>
  <c r="T60" i="15"/>
  <c r="S60" i="15"/>
  <c r="U60" i="15" s="1"/>
  <c r="Q60" i="15"/>
  <c r="P60" i="15"/>
  <c r="R60" i="15" s="1"/>
  <c r="Z59" i="15"/>
  <c r="Y59" i="15"/>
  <c r="AA59" i="15" s="1"/>
  <c r="X59" i="15"/>
  <c r="W59" i="15"/>
  <c r="V59" i="15"/>
  <c r="U59" i="15"/>
  <c r="T59" i="15"/>
  <c r="S59" i="15"/>
  <c r="Q59" i="15"/>
  <c r="R59" i="15" s="1"/>
  <c r="P59" i="15"/>
  <c r="Z58" i="15"/>
  <c r="Y58" i="15"/>
  <c r="AA58" i="15" s="1"/>
  <c r="W58" i="15"/>
  <c r="V58" i="15"/>
  <c r="X58" i="15" s="1"/>
  <c r="U58" i="15"/>
  <c r="T58" i="15"/>
  <c r="S58" i="15"/>
  <c r="Q58" i="15"/>
  <c r="P58" i="15"/>
  <c r="Z57" i="15"/>
  <c r="Y57" i="15"/>
  <c r="AA57" i="15" s="1"/>
  <c r="X57" i="15"/>
  <c r="W57" i="15"/>
  <c r="V57" i="15"/>
  <c r="U57" i="15"/>
  <c r="T57" i="15"/>
  <c r="S57" i="15"/>
  <c r="Q57" i="15"/>
  <c r="P57" i="15"/>
  <c r="R57" i="15" s="1"/>
  <c r="AA56" i="15"/>
  <c r="Z56" i="15"/>
  <c r="Y56" i="15"/>
  <c r="X56" i="15"/>
  <c r="W56" i="15"/>
  <c r="V56" i="15"/>
  <c r="T56" i="15"/>
  <c r="S56" i="15"/>
  <c r="U56" i="15" s="1"/>
  <c r="Q56" i="15"/>
  <c r="P56" i="15"/>
  <c r="R56" i="15" s="1"/>
  <c r="Z55" i="15"/>
  <c r="Y55" i="15"/>
  <c r="AA55" i="15" s="1"/>
  <c r="X55" i="15"/>
  <c r="W55" i="15"/>
  <c r="V55" i="15"/>
  <c r="U55" i="15"/>
  <c r="T55" i="15"/>
  <c r="S55" i="15"/>
  <c r="R55" i="15"/>
  <c r="Q55" i="15"/>
  <c r="P55" i="15"/>
  <c r="Z54" i="15"/>
  <c r="Y54" i="15"/>
  <c r="AA54" i="15" s="1"/>
  <c r="W54" i="15"/>
  <c r="V54" i="15"/>
  <c r="X54" i="15" s="1"/>
  <c r="T54" i="15"/>
  <c r="S54" i="15"/>
  <c r="U54" i="15" s="1"/>
  <c r="Q54" i="15"/>
  <c r="P54" i="15"/>
  <c r="R54" i="15" s="1"/>
  <c r="Z53" i="15"/>
  <c r="Y53" i="15"/>
  <c r="AA53" i="15" s="1"/>
  <c r="X53" i="15"/>
  <c r="W53" i="15"/>
  <c r="V53" i="15"/>
  <c r="T53" i="15"/>
  <c r="S53" i="15"/>
  <c r="U53" i="15" s="1"/>
  <c r="Q53" i="15"/>
  <c r="P53" i="15"/>
  <c r="R53" i="15" s="1"/>
  <c r="Z52" i="15"/>
  <c r="Y52" i="15"/>
  <c r="AA52" i="15" s="1"/>
  <c r="X52" i="15"/>
  <c r="W52" i="15"/>
  <c r="V52" i="15"/>
  <c r="T52" i="15"/>
  <c r="S52" i="15"/>
  <c r="U52" i="15" s="1"/>
  <c r="Q52" i="15"/>
  <c r="P52" i="15"/>
  <c r="R52" i="15" s="1"/>
  <c r="AA51" i="15"/>
  <c r="Z51" i="15"/>
  <c r="Y51" i="15"/>
  <c r="X51" i="15"/>
  <c r="W51" i="15"/>
  <c r="V51" i="15"/>
  <c r="T51" i="15"/>
  <c r="S51" i="15"/>
  <c r="U51" i="15" s="1"/>
  <c r="Q51" i="15"/>
  <c r="P51" i="15"/>
  <c r="R51" i="15" s="1"/>
  <c r="Z50" i="15"/>
  <c r="Y50" i="15"/>
  <c r="AA50" i="15" s="1"/>
  <c r="X50" i="15"/>
  <c r="W50" i="15"/>
  <c r="V50" i="15"/>
  <c r="T50" i="15"/>
  <c r="S50" i="15"/>
  <c r="U50" i="15" s="1"/>
  <c r="Q50" i="15"/>
  <c r="P50" i="15"/>
  <c r="R50" i="15" s="1"/>
  <c r="AA49" i="15"/>
  <c r="Z49" i="15"/>
  <c r="Y49" i="15"/>
  <c r="X49" i="15"/>
  <c r="W49" i="15"/>
  <c r="V49" i="15"/>
  <c r="T49" i="15"/>
  <c r="S49" i="15"/>
  <c r="U49" i="15" s="1"/>
  <c r="Q49" i="15"/>
  <c r="P49" i="15"/>
  <c r="R49" i="15" s="1"/>
  <c r="Z48" i="15"/>
  <c r="Y48" i="15"/>
  <c r="AA48" i="15" s="1"/>
  <c r="X48" i="15"/>
  <c r="W48" i="15"/>
  <c r="V48" i="15"/>
  <c r="T48" i="15"/>
  <c r="S48" i="15"/>
  <c r="U48" i="15" s="1"/>
  <c r="Q48" i="15"/>
  <c r="P48" i="15"/>
  <c r="R48" i="15" s="1"/>
  <c r="AA47" i="15"/>
  <c r="Z47" i="15"/>
  <c r="Y47" i="15"/>
  <c r="X47" i="15"/>
  <c r="W47" i="15"/>
  <c r="V47" i="15"/>
  <c r="T47" i="15"/>
  <c r="S47" i="15"/>
  <c r="U47" i="15" s="1"/>
  <c r="Q47" i="15"/>
  <c r="P47" i="15"/>
  <c r="R47" i="15" s="1"/>
  <c r="Z46" i="15"/>
  <c r="Y46" i="15"/>
  <c r="AA46" i="15" s="1"/>
  <c r="X46" i="15"/>
  <c r="W46" i="15"/>
  <c r="V46" i="15"/>
  <c r="T46" i="15"/>
  <c r="S46" i="15"/>
  <c r="U46" i="15" s="1"/>
  <c r="Q46" i="15"/>
  <c r="P46" i="15"/>
  <c r="R46" i="15" s="1"/>
  <c r="AA45" i="15"/>
  <c r="Z45" i="15"/>
  <c r="Y45" i="15"/>
  <c r="X45" i="15"/>
  <c r="W45" i="15"/>
  <c r="V45" i="15"/>
  <c r="T45" i="15"/>
  <c r="S45" i="15"/>
  <c r="U45" i="15" s="1"/>
  <c r="Q45" i="15"/>
  <c r="P45" i="15"/>
  <c r="R45" i="15" s="1"/>
  <c r="Z44" i="15"/>
  <c r="Y44" i="15"/>
  <c r="AA44" i="15" s="1"/>
  <c r="X44" i="15"/>
  <c r="W44" i="15"/>
  <c r="V44" i="15"/>
  <c r="T44" i="15"/>
  <c r="S44" i="15"/>
  <c r="U44" i="15" s="1"/>
  <c r="Q44" i="15"/>
  <c r="P44" i="15"/>
  <c r="R44" i="15" s="1"/>
  <c r="AA43" i="15"/>
  <c r="Z43" i="15"/>
  <c r="Y43" i="15"/>
  <c r="X43" i="15"/>
  <c r="W43" i="15"/>
  <c r="V43" i="15"/>
  <c r="T43" i="15"/>
  <c r="S43" i="15"/>
  <c r="U43" i="15" s="1"/>
  <c r="Q43" i="15"/>
  <c r="P43" i="15"/>
  <c r="R43" i="15" s="1"/>
  <c r="Z42" i="15"/>
  <c r="Y42" i="15"/>
  <c r="AA42" i="15" s="1"/>
  <c r="X42" i="15"/>
  <c r="W42" i="15"/>
  <c r="V42" i="15"/>
  <c r="T42" i="15"/>
  <c r="S42" i="15"/>
  <c r="U42" i="15" s="1"/>
  <c r="Q42" i="15"/>
  <c r="P42" i="15"/>
  <c r="R42" i="15" s="1"/>
  <c r="AA41" i="15"/>
  <c r="Z41" i="15"/>
  <c r="Y41" i="15"/>
  <c r="X41" i="15"/>
  <c r="W41" i="15"/>
  <c r="V41" i="15"/>
  <c r="T41" i="15"/>
  <c r="S41" i="15"/>
  <c r="U41" i="15" s="1"/>
  <c r="Q41" i="15"/>
  <c r="P41" i="15"/>
  <c r="R41" i="15" s="1"/>
  <c r="Z40" i="15"/>
  <c r="Y40" i="15"/>
  <c r="AA40" i="15" s="1"/>
  <c r="W40" i="15"/>
  <c r="V40" i="15"/>
  <c r="X40" i="15" s="1"/>
  <c r="T40" i="15"/>
  <c r="S40" i="15"/>
  <c r="U40" i="15" s="1"/>
  <c r="Q40" i="15"/>
  <c r="P40" i="15"/>
  <c r="R40" i="15" s="1"/>
  <c r="AA39" i="15"/>
  <c r="Z39" i="15"/>
  <c r="Y39" i="15"/>
  <c r="X39" i="15"/>
  <c r="W39" i="15"/>
  <c r="V39" i="15"/>
  <c r="T39" i="15"/>
  <c r="S39" i="15"/>
  <c r="U39" i="15" s="1"/>
  <c r="Q39" i="15"/>
  <c r="P39" i="15"/>
  <c r="R39" i="15" s="1"/>
  <c r="Z38" i="15"/>
  <c r="Y38" i="15"/>
  <c r="AA38" i="15" s="1"/>
  <c r="W38" i="15"/>
  <c r="V38" i="15"/>
  <c r="X38" i="15" s="1"/>
  <c r="T38" i="15"/>
  <c r="S38" i="15"/>
  <c r="U38" i="15" s="1"/>
  <c r="Q38" i="15"/>
  <c r="P38" i="15"/>
  <c r="R38" i="15" s="1"/>
  <c r="AA37" i="15"/>
  <c r="Z37" i="15"/>
  <c r="Y37" i="15"/>
  <c r="X37" i="15"/>
  <c r="W37" i="15"/>
  <c r="V37" i="15"/>
  <c r="T37" i="15"/>
  <c r="S37" i="15"/>
  <c r="U37" i="15" s="1"/>
  <c r="Q37" i="15"/>
  <c r="P37" i="15"/>
  <c r="R37" i="15" s="1"/>
  <c r="Z36" i="15"/>
  <c r="Y36" i="15"/>
  <c r="AA36" i="15" s="1"/>
  <c r="W36" i="15"/>
  <c r="V36" i="15"/>
  <c r="X36" i="15" s="1"/>
  <c r="T36" i="15"/>
  <c r="S36" i="15"/>
  <c r="U36" i="15" s="1"/>
  <c r="Q36" i="15"/>
  <c r="P36" i="15"/>
  <c r="R36" i="15" s="1"/>
  <c r="AA35" i="15"/>
  <c r="Z35" i="15"/>
  <c r="Y35" i="15"/>
  <c r="X35" i="15"/>
  <c r="W35" i="15"/>
  <c r="V35" i="15"/>
  <c r="T35" i="15"/>
  <c r="S35" i="15"/>
  <c r="U35" i="15" s="1"/>
  <c r="Q35" i="15"/>
  <c r="P35" i="15"/>
  <c r="R35" i="15" s="1"/>
  <c r="B28" i="15"/>
  <c r="I14" i="15"/>
  <c r="G14" i="15"/>
  <c r="E14" i="15"/>
  <c r="D7" i="15"/>
  <c r="D3" i="15"/>
  <c r="M164" i="15" s="1"/>
  <c r="M167" i="15" s="1"/>
  <c r="I20" i="15" s="1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E11" i="16" s="1"/>
  <c r="D16" i="14"/>
  <c r="E9" i="16" s="1"/>
  <c r="D9" i="16" s="1"/>
  <c r="D15" i="14"/>
  <c r="D14" i="14"/>
  <c r="D13" i="14"/>
  <c r="D12" i="14"/>
  <c r="D11" i="14"/>
  <c r="D10" i="14"/>
  <c r="D9" i="14"/>
  <c r="D8" i="14"/>
  <c r="D7" i="14"/>
  <c r="E10" i="16" s="1"/>
  <c r="D10" i="16" s="1"/>
  <c r="D6" i="14"/>
  <c r="D5" i="14"/>
  <c r="D4" i="14"/>
  <c r="D3" i="14"/>
  <c r="F38" i="13"/>
  <c r="E38" i="13"/>
  <c r="D38" i="13"/>
  <c r="C38" i="13"/>
  <c r="B38" i="13"/>
  <c r="F37" i="13"/>
  <c r="E37" i="13"/>
  <c r="D37" i="13"/>
  <c r="C37" i="13"/>
  <c r="B37" i="13"/>
  <c r="F36" i="13"/>
  <c r="E36" i="13"/>
  <c r="D36" i="13"/>
  <c r="C36" i="13"/>
  <c r="B36" i="13"/>
  <c r="F35" i="13"/>
  <c r="F39" i="13" s="1"/>
  <c r="F30" i="13"/>
  <c r="E30" i="13"/>
  <c r="D30" i="13"/>
  <c r="G30" i="13" s="1"/>
  <c r="C30" i="13"/>
  <c r="B30" i="13"/>
  <c r="F29" i="13"/>
  <c r="C29" i="13"/>
  <c r="F25" i="13"/>
  <c r="E25" i="13"/>
  <c r="D25" i="13"/>
  <c r="C25" i="13"/>
  <c r="B25" i="13"/>
  <c r="G24" i="13"/>
  <c r="F24" i="13"/>
  <c r="E24" i="13"/>
  <c r="D24" i="13"/>
  <c r="C24" i="13"/>
  <c r="B24" i="13"/>
  <c r="F23" i="13"/>
  <c r="E23" i="13"/>
  <c r="E35" i="13" s="1"/>
  <c r="E39" i="13" s="1"/>
  <c r="D23" i="13"/>
  <c r="C23" i="13"/>
  <c r="C35" i="13" s="1"/>
  <c r="C39" i="13" s="1"/>
  <c r="B23" i="13"/>
  <c r="B29" i="13" s="1"/>
  <c r="G15" i="13"/>
  <c r="F10" i="13"/>
  <c r="E10" i="13"/>
  <c r="D10" i="13"/>
  <c r="C10" i="13"/>
  <c r="B10" i="13"/>
  <c r="F8" i="13"/>
  <c r="E8" i="13"/>
  <c r="F6" i="13"/>
  <c r="F7" i="13" s="1"/>
  <c r="E6" i="13"/>
  <c r="E7" i="13" s="1"/>
  <c r="D6" i="13"/>
  <c r="D7" i="13" s="1"/>
  <c r="C6" i="13"/>
  <c r="B6" i="13"/>
  <c r="B7" i="13" s="1"/>
  <c r="F38" i="12"/>
  <c r="E38" i="12"/>
  <c r="D38" i="12"/>
  <c r="C38" i="12"/>
  <c r="B38" i="12"/>
  <c r="G38" i="12" s="1"/>
  <c r="F37" i="12"/>
  <c r="E37" i="12"/>
  <c r="D37" i="12"/>
  <c r="C37" i="12"/>
  <c r="B37" i="12"/>
  <c r="F36" i="12"/>
  <c r="E36" i="12"/>
  <c r="D36" i="12"/>
  <c r="C36" i="12"/>
  <c r="B36" i="12"/>
  <c r="G36" i="12" s="1"/>
  <c r="F35" i="12"/>
  <c r="F39" i="12" s="1"/>
  <c r="F30" i="12"/>
  <c r="G30" i="12" s="1"/>
  <c r="E30" i="12"/>
  <c r="D30" i="12"/>
  <c r="C30" i="12"/>
  <c r="B30" i="12"/>
  <c r="F29" i="12"/>
  <c r="F25" i="12"/>
  <c r="E25" i="12"/>
  <c r="D25" i="12"/>
  <c r="C25" i="12"/>
  <c r="B25" i="12"/>
  <c r="F24" i="12"/>
  <c r="E24" i="12"/>
  <c r="D24" i="12"/>
  <c r="C24" i="12"/>
  <c r="B24" i="12"/>
  <c r="F23" i="12"/>
  <c r="E23" i="12"/>
  <c r="E35" i="12" s="1"/>
  <c r="E39" i="12" s="1"/>
  <c r="D23" i="12"/>
  <c r="D29" i="12" s="1"/>
  <c r="C23" i="12"/>
  <c r="B23" i="12"/>
  <c r="B29" i="12" s="1"/>
  <c r="F10" i="12"/>
  <c r="E10" i="12"/>
  <c r="D10" i="12"/>
  <c r="C10" i="12"/>
  <c r="B10" i="12"/>
  <c r="F8" i="12"/>
  <c r="E8" i="12"/>
  <c r="D8" i="12"/>
  <c r="F6" i="12"/>
  <c r="F7" i="12" s="1"/>
  <c r="E6" i="12"/>
  <c r="E7" i="12" s="1"/>
  <c r="D6" i="12"/>
  <c r="D7" i="12" s="1"/>
  <c r="C6" i="12"/>
  <c r="C8" i="12" s="1"/>
  <c r="B6" i="12"/>
  <c r="B7" i="12" s="1"/>
  <c r="B34" i="11"/>
  <c r="J32" i="11"/>
  <c r="J31" i="11"/>
  <c r="I31" i="11"/>
  <c r="E31" i="11"/>
  <c r="J30" i="11"/>
  <c r="I30" i="11"/>
  <c r="I32" i="11" s="1"/>
  <c r="H30" i="11"/>
  <c r="E30" i="11"/>
  <c r="E32" i="11" s="1"/>
  <c r="D30" i="11"/>
  <c r="C30" i="11"/>
  <c r="B30" i="11"/>
  <c r="J23" i="11"/>
  <c r="I23" i="11"/>
  <c r="H23" i="11"/>
  <c r="K23" i="11" s="1"/>
  <c r="J22" i="11"/>
  <c r="I22" i="11"/>
  <c r="H22" i="11"/>
  <c r="F22" i="11"/>
  <c r="E22" i="11"/>
  <c r="D22" i="11"/>
  <c r="C22" i="11"/>
  <c r="B22" i="11"/>
  <c r="K20" i="11"/>
  <c r="J20" i="11"/>
  <c r="H20" i="11"/>
  <c r="J16" i="11"/>
  <c r="J26" i="11" s="1"/>
  <c r="I16" i="11"/>
  <c r="I26" i="11" s="1"/>
  <c r="H16" i="11"/>
  <c r="E16" i="11"/>
  <c r="E26" i="11" s="1"/>
  <c r="D16" i="11"/>
  <c r="C16" i="11"/>
  <c r="B16" i="11"/>
  <c r="J15" i="11"/>
  <c r="I15" i="11"/>
  <c r="I20" i="11" s="1"/>
  <c r="H15" i="11"/>
  <c r="E15" i="11"/>
  <c r="E20" i="11" s="1"/>
  <c r="K12" i="11"/>
  <c r="F12" i="11"/>
  <c r="K8" i="11"/>
  <c r="J7" i="11"/>
  <c r="I7" i="11"/>
  <c r="J5" i="11"/>
  <c r="J6" i="11" s="1"/>
  <c r="I5" i="11"/>
  <c r="I6" i="11" s="1"/>
  <c r="H5" i="11"/>
  <c r="H7" i="11" s="1"/>
  <c r="K7" i="11" s="1"/>
  <c r="E5" i="11"/>
  <c r="E6" i="11" s="1"/>
  <c r="D5" i="11"/>
  <c r="D6" i="11" s="1"/>
  <c r="C5" i="11"/>
  <c r="C6" i="11" s="1"/>
  <c r="B5" i="11"/>
  <c r="G20" i="10"/>
  <c r="E20" i="10"/>
  <c r="D20" i="10"/>
  <c r="E17" i="10"/>
  <c r="E21" i="10" s="1"/>
  <c r="E3" i="11" s="1"/>
  <c r="B17" i="10"/>
  <c r="G15" i="10"/>
  <c r="G17" i="10" s="1"/>
  <c r="G21" i="10" s="1"/>
  <c r="F15" i="10"/>
  <c r="F17" i="10" s="1"/>
  <c r="E15" i="10"/>
  <c r="D15" i="10"/>
  <c r="D17" i="10" s="1"/>
  <c r="D21" i="10" s="1"/>
  <c r="D3" i="11" s="1"/>
  <c r="C15" i="10"/>
  <c r="B15" i="10"/>
  <c r="B20" i="10" s="1"/>
  <c r="F32" i="9"/>
  <c r="E32" i="9"/>
  <c r="F31" i="9"/>
  <c r="E31" i="9"/>
  <c r="D31" i="9"/>
  <c r="F30" i="9"/>
  <c r="E30" i="9"/>
  <c r="D30" i="9"/>
  <c r="D32" i="9" s="1"/>
  <c r="C30" i="9"/>
  <c r="B30" i="9"/>
  <c r="D27" i="9"/>
  <c r="F26" i="9"/>
  <c r="F27" i="9" s="1"/>
  <c r="F23" i="9"/>
  <c r="E23" i="9"/>
  <c r="D23" i="9"/>
  <c r="C23" i="9"/>
  <c r="B23" i="9"/>
  <c r="G23" i="9" s="1"/>
  <c r="B24" i="4" s="1"/>
  <c r="F22" i="9"/>
  <c r="E22" i="9"/>
  <c r="D22" i="9"/>
  <c r="C22" i="9"/>
  <c r="B22" i="9"/>
  <c r="E20" i="9"/>
  <c r="F16" i="9"/>
  <c r="E16" i="9"/>
  <c r="E26" i="9" s="1"/>
  <c r="D16" i="9"/>
  <c r="D26" i="9" s="1"/>
  <c r="D28" i="9" s="1"/>
  <c r="C16" i="9"/>
  <c r="B16" i="9"/>
  <c r="F15" i="9"/>
  <c r="F20" i="9" s="1"/>
  <c r="E15" i="9"/>
  <c r="D15" i="9"/>
  <c r="D20" i="9" s="1"/>
  <c r="C15" i="9"/>
  <c r="C20" i="9" s="1"/>
  <c r="B15" i="9"/>
  <c r="B20" i="9" s="1"/>
  <c r="F8" i="9"/>
  <c r="E8" i="9"/>
  <c r="D8" i="9"/>
  <c r="F6" i="9"/>
  <c r="F7" i="9" s="1"/>
  <c r="E6" i="9"/>
  <c r="E7" i="9" s="1"/>
  <c r="D6" i="9"/>
  <c r="D7" i="9" s="1"/>
  <c r="C6" i="9"/>
  <c r="C8" i="9" s="1"/>
  <c r="B6" i="9"/>
  <c r="B7" i="9" s="1"/>
  <c r="E21" i="8"/>
  <c r="F20" i="8"/>
  <c r="E20" i="8"/>
  <c r="D20" i="8"/>
  <c r="C20" i="8"/>
  <c r="B20" i="8"/>
  <c r="E17" i="8"/>
  <c r="F16" i="8"/>
  <c r="F13" i="8"/>
  <c r="E13" i="8"/>
  <c r="D13" i="8"/>
  <c r="D15" i="8" s="1"/>
  <c r="D16" i="8" s="1"/>
  <c r="C13" i="8"/>
  <c r="B13" i="8"/>
  <c r="A13" i="8"/>
  <c r="F12" i="8"/>
  <c r="F15" i="8" s="1"/>
  <c r="E12" i="8"/>
  <c r="E15" i="8" s="1"/>
  <c r="E16" i="8" s="1"/>
  <c r="E18" i="8" s="1"/>
  <c r="D12" i="8"/>
  <c r="C12" i="8"/>
  <c r="C15" i="8" s="1"/>
  <c r="C16" i="8" s="1"/>
  <c r="F9" i="8"/>
  <c r="E9" i="8"/>
  <c r="D9" i="8"/>
  <c r="C9" i="8"/>
  <c r="B9" i="8"/>
  <c r="G9" i="8" s="1"/>
  <c r="G6" i="8"/>
  <c r="G3" i="8"/>
  <c r="B4" i="3" s="1"/>
  <c r="A13" i="7"/>
  <c r="H12" i="7"/>
  <c r="H11" i="7"/>
  <c r="A86" i="6"/>
  <c r="A85" i="6"/>
  <c r="K77" i="6"/>
  <c r="A77" i="6"/>
  <c r="A76" i="6"/>
  <c r="K70" i="6"/>
  <c r="J70" i="6"/>
  <c r="I70" i="6"/>
  <c r="H70" i="6"/>
  <c r="G70" i="6"/>
  <c r="F70" i="6"/>
  <c r="E70" i="6"/>
  <c r="D70" i="6"/>
  <c r="C70" i="6"/>
  <c r="K62" i="6"/>
  <c r="K58" i="6"/>
  <c r="J58" i="6"/>
  <c r="I58" i="6"/>
  <c r="H58" i="6"/>
  <c r="E58" i="6"/>
  <c r="D58" i="6"/>
  <c r="C58" i="6"/>
  <c r="K56" i="6"/>
  <c r="J56" i="6"/>
  <c r="I56" i="6"/>
  <c r="H56" i="6"/>
  <c r="G56" i="6"/>
  <c r="F56" i="6"/>
  <c r="E56" i="6"/>
  <c r="D56" i="6"/>
  <c r="D62" i="6" s="1"/>
  <c r="D55" i="6"/>
  <c r="K54" i="6"/>
  <c r="J54" i="6"/>
  <c r="I54" i="6"/>
  <c r="H54" i="6"/>
  <c r="G54" i="6"/>
  <c r="F54" i="6"/>
  <c r="E54" i="6"/>
  <c r="D54" i="6"/>
  <c r="C54" i="6"/>
  <c r="J48" i="6"/>
  <c r="I48" i="6"/>
  <c r="F48" i="6"/>
  <c r="D48" i="6"/>
  <c r="K47" i="6"/>
  <c r="K48" i="6" s="1"/>
  <c r="J47" i="6"/>
  <c r="I47" i="6"/>
  <c r="H47" i="6"/>
  <c r="G47" i="6"/>
  <c r="G48" i="6" s="1"/>
  <c r="F47" i="6"/>
  <c r="E47" i="6"/>
  <c r="E48" i="6" s="1"/>
  <c r="E55" i="6" s="1"/>
  <c r="D47" i="6"/>
  <c r="C47" i="6"/>
  <c r="C48" i="6" s="1"/>
  <c r="K42" i="6"/>
  <c r="K41" i="6"/>
  <c r="K40" i="6"/>
  <c r="K33" i="6"/>
  <c r="F33" i="6"/>
  <c r="C33" i="6"/>
  <c r="K32" i="6"/>
  <c r="D32" i="6"/>
  <c r="C32" i="6"/>
  <c r="E31" i="6"/>
  <c r="D31" i="6"/>
  <c r="K30" i="6"/>
  <c r="F30" i="6"/>
  <c r="C30" i="6"/>
  <c r="F29" i="6"/>
  <c r="D29" i="6"/>
  <c r="K28" i="6"/>
  <c r="H28" i="6"/>
  <c r="H34" i="6" s="1"/>
  <c r="C28" i="6"/>
  <c r="K23" i="6"/>
  <c r="J23" i="6"/>
  <c r="H23" i="6"/>
  <c r="F23" i="6"/>
  <c r="E23" i="6"/>
  <c r="G23" i="6" s="1"/>
  <c r="D23" i="6"/>
  <c r="K22" i="6"/>
  <c r="C22" i="6"/>
  <c r="K21" i="6"/>
  <c r="J21" i="6"/>
  <c r="I21" i="6"/>
  <c r="H21" i="6"/>
  <c r="G21" i="6"/>
  <c r="F21" i="6"/>
  <c r="E21" i="6"/>
  <c r="D21" i="6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D22" i="6" s="1"/>
  <c r="K12" i="6"/>
  <c r="J12" i="6"/>
  <c r="I12" i="6"/>
  <c r="I10" i="6"/>
  <c r="I11" i="6" s="1"/>
  <c r="H10" i="6"/>
  <c r="H11" i="6" s="1"/>
  <c r="H12" i="6" s="1"/>
  <c r="F10" i="6"/>
  <c r="F11" i="6" s="1"/>
  <c r="F12" i="6" s="1"/>
  <c r="D10" i="6"/>
  <c r="D11" i="6" s="1"/>
  <c r="D12" i="6" s="1"/>
  <c r="K6" i="6"/>
  <c r="K29" i="6" s="1"/>
  <c r="J6" i="6"/>
  <c r="I6" i="6"/>
  <c r="H6" i="6"/>
  <c r="G6" i="6"/>
  <c r="G29" i="6" s="1"/>
  <c r="F6" i="6"/>
  <c r="E6" i="6"/>
  <c r="D6" i="6"/>
  <c r="D28" i="6" s="1"/>
  <c r="C6" i="6"/>
  <c r="C29" i="6" s="1"/>
  <c r="E37" i="5"/>
  <c r="D37" i="5"/>
  <c r="F36" i="5"/>
  <c r="A36" i="5"/>
  <c r="E35" i="5"/>
  <c r="A35" i="5"/>
  <c r="F34" i="5"/>
  <c r="D34" i="5"/>
  <c r="F33" i="5"/>
  <c r="D33" i="5"/>
  <c r="D32" i="5"/>
  <c r="F31" i="5"/>
  <c r="F30" i="5"/>
  <c r="D30" i="5"/>
  <c r="D29" i="5"/>
  <c r="B29" i="5"/>
  <c r="A29" i="5"/>
  <c r="E28" i="5"/>
  <c r="C28" i="5"/>
  <c r="A28" i="5"/>
  <c r="E27" i="5"/>
  <c r="D27" i="5"/>
  <c r="B27" i="5"/>
  <c r="C26" i="5"/>
  <c r="B26" i="5"/>
  <c r="D25" i="5"/>
  <c r="D24" i="5"/>
  <c r="E23" i="5"/>
  <c r="D23" i="5"/>
  <c r="B23" i="5"/>
  <c r="D21" i="5"/>
  <c r="F20" i="5"/>
  <c r="E20" i="5"/>
  <c r="D20" i="5"/>
  <c r="C20" i="5"/>
  <c r="B20" i="5"/>
  <c r="F12" i="5"/>
  <c r="E12" i="5"/>
  <c r="E25" i="5" s="1"/>
  <c r="D12" i="5"/>
  <c r="D26" i="5" s="1"/>
  <c r="C12" i="5"/>
  <c r="B12" i="5"/>
  <c r="B24" i="5" s="1"/>
  <c r="F11" i="5"/>
  <c r="E11" i="5"/>
  <c r="D11" i="5"/>
  <c r="C11" i="5"/>
  <c r="B11" i="5"/>
  <c r="D6" i="5"/>
  <c r="D7" i="5" s="1"/>
  <c r="B6" i="5"/>
  <c r="B7" i="5" s="1"/>
  <c r="C29" i="2" s="1"/>
  <c r="F3" i="5"/>
  <c r="F35" i="5" s="1"/>
  <c r="E3" i="5"/>
  <c r="E6" i="5" s="1"/>
  <c r="E7" i="5" s="1"/>
  <c r="D3" i="5"/>
  <c r="D35" i="5" s="1"/>
  <c r="C3" i="5"/>
  <c r="B53" i="4"/>
  <c r="E43" i="4"/>
  <c r="D43" i="4"/>
  <c r="E42" i="4"/>
  <c r="D42" i="4"/>
  <c r="E41" i="4"/>
  <c r="D41" i="4"/>
  <c r="E40" i="4"/>
  <c r="D40" i="4"/>
  <c r="D39" i="4"/>
  <c r="E38" i="4"/>
  <c r="D38" i="4"/>
  <c r="D37" i="4"/>
  <c r="L36" i="4"/>
  <c r="E36" i="4"/>
  <c r="D36" i="4"/>
  <c r="L35" i="4"/>
  <c r="E35" i="4"/>
  <c r="D35" i="4"/>
  <c r="L34" i="4"/>
  <c r="E34" i="4"/>
  <c r="D34" i="4"/>
  <c r="L33" i="4"/>
  <c r="E33" i="4"/>
  <c r="D33" i="4"/>
  <c r="E32" i="4"/>
  <c r="D32" i="4"/>
  <c r="L31" i="4"/>
  <c r="E31" i="4"/>
  <c r="D31" i="4"/>
  <c r="E30" i="4"/>
  <c r="D30" i="4"/>
  <c r="D29" i="4"/>
  <c r="L28" i="4"/>
  <c r="K28" i="4"/>
  <c r="L32" i="4" s="1"/>
  <c r="E28" i="4"/>
  <c r="D28" i="4"/>
  <c r="D27" i="4"/>
  <c r="E26" i="4"/>
  <c r="E25" i="4"/>
  <c r="E24" i="4"/>
  <c r="D24" i="4"/>
  <c r="E23" i="4"/>
  <c r="D23" i="4"/>
  <c r="L22" i="4"/>
  <c r="J22" i="4"/>
  <c r="L26" i="4" s="1"/>
  <c r="E22" i="4"/>
  <c r="D22" i="4"/>
  <c r="L21" i="4"/>
  <c r="E21" i="4"/>
  <c r="D21" i="4"/>
  <c r="L20" i="4"/>
  <c r="E20" i="4"/>
  <c r="D20" i="4"/>
  <c r="L19" i="4"/>
  <c r="E19" i="4"/>
  <c r="K18" i="4"/>
  <c r="E18" i="4"/>
  <c r="D18" i="4"/>
  <c r="E17" i="4"/>
  <c r="D17" i="4"/>
  <c r="L16" i="4"/>
  <c r="E16" i="4"/>
  <c r="D16" i="4"/>
  <c r="E15" i="4"/>
  <c r="D15" i="4"/>
  <c r="E14" i="4"/>
  <c r="D14" i="4"/>
  <c r="L13" i="4"/>
  <c r="J13" i="4"/>
  <c r="L17" i="4" s="1"/>
  <c r="E13" i="4"/>
  <c r="D13" i="4"/>
  <c r="K12" i="4"/>
  <c r="E12" i="4"/>
  <c r="D12" i="4"/>
  <c r="E11" i="4"/>
  <c r="D11" i="4"/>
  <c r="E10" i="4"/>
  <c r="D10" i="4"/>
  <c r="L9" i="4"/>
  <c r="E9" i="4"/>
  <c r="D9" i="4"/>
  <c r="E8" i="4"/>
  <c r="D8" i="4"/>
  <c r="L7" i="4"/>
  <c r="E7" i="4"/>
  <c r="D7" i="4"/>
  <c r="E6" i="4"/>
  <c r="D6" i="4"/>
  <c r="L5" i="4"/>
  <c r="J5" i="4"/>
  <c r="L12" i="4" s="1"/>
  <c r="E5" i="4"/>
  <c r="D5" i="4"/>
  <c r="E4" i="4"/>
  <c r="D4" i="4"/>
  <c r="G32" i="3"/>
  <c r="G31" i="3"/>
  <c r="G30" i="3"/>
  <c r="H18" i="3"/>
  <c r="B39" i="4" s="1"/>
  <c r="E39" i="4" s="1"/>
  <c r="J14" i="3"/>
  <c r="J13" i="3"/>
  <c r="J7" i="3"/>
  <c r="J12" i="3" s="1"/>
  <c r="J6" i="3"/>
  <c r="J11" i="3" s="1"/>
  <c r="J4" i="3"/>
  <c r="G4" i="3"/>
  <c r="D47" i="2"/>
  <c r="L25" i="2"/>
  <c r="L22" i="2"/>
  <c r="L21" i="2"/>
  <c r="L20" i="2"/>
  <c r="L19" i="2"/>
  <c r="L18" i="2"/>
  <c r="M15" i="2"/>
  <c r="M14" i="2"/>
  <c r="L14" i="2"/>
  <c r="M13" i="2"/>
  <c r="L13" i="2"/>
  <c r="K13" i="2" s="1"/>
  <c r="I13" i="2"/>
  <c r="J13" i="2" s="1"/>
  <c r="H11" i="2"/>
  <c r="G11" i="2"/>
  <c r="F11" i="2"/>
  <c r="L11" i="2" s="1"/>
  <c r="M10" i="2"/>
  <c r="M9" i="2"/>
  <c r="L9" i="2"/>
  <c r="M8" i="2"/>
  <c r="L8" i="2"/>
  <c r="B9" i="1"/>
  <c r="C7" i="12" l="1"/>
  <c r="D72" i="6"/>
  <c r="D78" i="6"/>
  <c r="D79" i="6" s="1"/>
  <c r="D75" i="6"/>
  <c r="D71" i="6"/>
  <c r="D77" i="6"/>
  <c r="D74" i="6"/>
  <c r="D76" i="6"/>
  <c r="D73" i="6"/>
  <c r="I167" i="15"/>
  <c r="E20" i="15" s="1"/>
  <c r="F27" i="5"/>
  <c r="F23" i="5"/>
  <c r="D29" i="13"/>
  <c r="D35" i="13"/>
  <c r="D39" i="13" s="1"/>
  <c r="AA87" i="15"/>
  <c r="I19" i="15" s="1"/>
  <c r="I21" i="15" s="1"/>
  <c r="L15" i="4"/>
  <c r="L18" i="4" s="1"/>
  <c r="L29" i="4" s="1"/>
  <c r="F26" i="5"/>
  <c r="I32" i="6"/>
  <c r="I22" i="6"/>
  <c r="I55" i="6"/>
  <c r="I31" i="6"/>
  <c r="I30" i="6"/>
  <c r="I29" i="6"/>
  <c r="I28" i="6"/>
  <c r="I33" i="6"/>
  <c r="I24" i="6"/>
  <c r="K76" i="6"/>
  <c r="K79" i="6"/>
  <c r="K72" i="6"/>
  <c r="K81" i="6" s="1"/>
  <c r="K78" i="6"/>
  <c r="K75" i="6"/>
  <c r="K71" i="6"/>
  <c r="K73" i="6"/>
  <c r="D22" i="8"/>
  <c r="D21" i="8"/>
  <c r="D18" i="8"/>
  <c r="E28" i="9"/>
  <c r="E27" i="9"/>
  <c r="L11" i="4"/>
  <c r="I9" i="2"/>
  <c r="J9" i="2" s="1"/>
  <c r="L25" i="4"/>
  <c r="L27" i="4"/>
  <c r="F21" i="5"/>
  <c r="J55" i="6"/>
  <c r="J62" i="6" s="1"/>
  <c r="J31" i="6"/>
  <c r="J30" i="6"/>
  <c r="J29" i="6"/>
  <c r="J28" i="6"/>
  <c r="J10" i="6"/>
  <c r="J11" i="6" s="1"/>
  <c r="J32" i="6"/>
  <c r="J22" i="6"/>
  <c r="J24" i="6"/>
  <c r="C33" i="5"/>
  <c r="B28" i="5"/>
  <c r="G12" i="5"/>
  <c r="B25" i="5"/>
  <c r="B21" i="5"/>
  <c r="B22" i="5"/>
  <c r="F24" i="5"/>
  <c r="E30" i="6"/>
  <c r="H33" i="6"/>
  <c r="H31" i="6"/>
  <c r="H48" i="6"/>
  <c r="H55" i="6" s="1"/>
  <c r="C29" i="12"/>
  <c r="C35" i="12"/>
  <c r="C39" i="12" s="1"/>
  <c r="G24" i="6"/>
  <c r="G33" i="6"/>
  <c r="G62" i="6"/>
  <c r="G32" i="6"/>
  <c r="G22" i="6"/>
  <c r="G55" i="6"/>
  <c r="G31" i="6"/>
  <c r="G30" i="6"/>
  <c r="G10" i="6"/>
  <c r="G11" i="6" s="1"/>
  <c r="G12" i="6" s="1"/>
  <c r="F28" i="5"/>
  <c r="K86" i="6"/>
  <c r="K82" i="6"/>
  <c r="K85" i="6"/>
  <c r="K87" i="6"/>
  <c r="K84" i="6"/>
  <c r="K80" i="6"/>
  <c r="L8" i="4"/>
  <c r="L10" i="4"/>
  <c r="C29" i="5"/>
  <c r="C36" i="5" s="1"/>
  <c r="C24" i="5"/>
  <c r="G24" i="5" s="1"/>
  <c r="C7" i="7" s="1"/>
  <c r="C25" i="5"/>
  <c r="C21" i="5"/>
  <c r="C22" i="5" s="1"/>
  <c r="C37" i="5" s="1"/>
  <c r="C27" i="5"/>
  <c r="G27" i="5" s="1"/>
  <c r="C10" i="7" s="1"/>
  <c r="C23" i="5"/>
  <c r="G23" i="5" s="1"/>
  <c r="C6" i="7" s="1"/>
  <c r="F29" i="5"/>
  <c r="G28" i="6"/>
  <c r="H62" i="6"/>
  <c r="I14" i="2"/>
  <c r="K14" i="2" s="1"/>
  <c r="I8" i="2"/>
  <c r="J8" i="2" s="1"/>
  <c r="J14" i="2"/>
  <c r="E34" i="5"/>
  <c r="E30" i="5"/>
  <c r="E36" i="5"/>
  <c r="E31" i="5"/>
  <c r="E33" i="5"/>
  <c r="F22" i="5"/>
  <c r="E32" i="5"/>
  <c r="E28" i="6"/>
  <c r="E10" i="6"/>
  <c r="E11" i="6" s="1"/>
  <c r="E12" i="6" s="1"/>
  <c r="E24" i="6"/>
  <c r="E33" i="6"/>
  <c r="E62" i="6"/>
  <c r="E32" i="6"/>
  <c r="E22" i="6"/>
  <c r="L22" i="6" s="1"/>
  <c r="E29" i="6"/>
  <c r="J33" i="6"/>
  <c r="K74" i="6"/>
  <c r="K83" i="6" s="1"/>
  <c r="D17" i="8"/>
  <c r="N64" i="16"/>
  <c r="M64" i="16"/>
  <c r="L64" i="16"/>
  <c r="L24" i="4"/>
  <c r="F25" i="5"/>
  <c r="C6" i="5"/>
  <c r="C7" i="5" s="1"/>
  <c r="G7" i="5" s="1"/>
  <c r="E24" i="5"/>
  <c r="D28" i="5"/>
  <c r="E29" i="5"/>
  <c r="C32" i="5"/>
  <c r="I23" i="6"/>
  <c r="H24" i="6"/>
  <c r="F28" i="6"/>
  <c r="D30" i="6"/>
  <c r="D34" i="6" s="1"/>
  <c r="C31" i="6"/>
  <c r="C34" i="6" s="1"/>
  <c r="K31" i="6"/>
  <c r="K34" i="6" s="1"/>
  <c r="C55" i="6"/>
  <c r="K55" i="6"/>
  <c r="F22" i="8"/>
  <c r="F17" i="8"/>
  <c r="F18" i="8"/>
  <c r="J28" i="11"/>
  <c r="J27" i="11"/>
  <c r="G7" i="12"/>
  <c r="B10" i="3" s="1"/>
  <c r="G37" i="13"/>
  <c r="AA143" i="15"/>
  <c r="I23" i="15" s="1"/>
  <c r="F6" i="5"/>
  <c r="F7" i="5" s="1"/>
  <c r="D22" i="5"/>
  <c r="D31" i="5"/>
  <c r="D38" i="5" s="1"/>
  <c r="F32" i="5"/>
  <c r="F38" i="5" s="1"/>
  <c r="C35" i="5"/>
  <c r="D36" i="5"/>
  <c r="F37" i="5"/>
  <c r="C24" i="6"/>
  <c r="K24" i="6"/>
  <c r="H29" i="6"/>
  <c r="F31" i="6"/>
  <c r="D33" i="6"/>
  <c r="K43" i="6"/>
  <c r="F55" i="6"/>
  <c r="C21" i="8"/>
  <c r="C18" i="8"/>
  <c r="C22" i="8"/>
  <c r="C17" i="8"/>
  <c r="F21" i="8"/>
  <c r="B21" i="10"/>
  <c r="B3" i="11" s="1"/>
  <c r="E12" i="2"/>
  <c r="D12" i="2"/>
  <c r="C12" i="2"/>
  <c r="K22" i="11"/>
  <c r="C7" i="13"/>
  <c r="G7" i="13" s="1"/>
  <c r="C8" i="13"/>
  <c r="G36" i="13"/>
  <c r="G38" i="13" s="1"/>
  <c r="U87" i="15"/>
  <c r="E19" i="15" s="1"/>
  <c r="X143" i="15"/>
  <c r="G23" i="15" s="1"/>
  <c r="E26" i="5"/>
  <c r="G26" i="5" s="1"/>
  <c r="C9" i="7" s="1"/>
  <c r="C30" i="5"/>
  <c r="C34" i="5"/>
  <c r="C10" i="6"/>
  <c r="C11" i="6" s="1"/>
  <c r="K10" i="6"/>
  <c r="K11" i="6" s="1"/>
  <c r="F22" i="6"/>
  <c r="D24" i="6"/>
  <c r="H30" i="6"/>
  <c r="F32" i="6"/>
  <c r="C17" i="2"/>
  <c r="D17" i="2" s="1"/>
  <c r="E17" i="2" s="1"/>
  <c r="E22" i="8"/>
  <c r="E23" i="11"/>
  <c r="E7" i="11"/>
  <c r="D41" i="16"/>
  <c r="E27" i="11"/>
  <c r="E28" i="11"/>
  <c r="D18" i="16"/>
  <c r="E21" i="5"/>
  <c r="E22" i="5" s="1"/>
  <c r="H22" i="6"/>
  <c r="F24" i="6"/>
  <c r="H32" i="6"/>
  <c r="G22" i="9"/>
  <c r="C17" i="10"/>
  <c r="C21" i="10" s="1"/>
  <c r="C3" i="11" s="1"/>
  <c r="C20" i="10"/>
  <c r="G37" i="12"/>
  <c r="B26" i="4" s="1"/>
  <c r="C7" i="9"/>
  <c r="G7" i="9" s="1"/>
  <c r="D15" i="11"/>
  <c r="D20" i="11" s="1"/>
  <c r="D23" i="11"/>
  <c r="D7" i="11"/>
  <c r="I28" i="11"/>
  <c r="I27" i="11"/>
  <c r="G15" i="9"/>
  <c r="F28" i="9"/>
  <c r="F20" i="10"/>
  <c r="F21" i="10" s="1"/>
  <c r="E29" i="12"/>
  <c r="E29" i="13"/>
  <c r="H167" i="15"/>
  <c r="C24" i="15" s="1"/>
  <c r="B35" i="12"/>
  <c r="B39" i="12" s="1"/>
  <c r="B35" i="13"/>
  <c r="B39" i="13" s="1"/>
  <c r="K164" i="15"/>
  <c r="J164" i="15"/>
  <c r="J167" i="15" s="1"/>
  <c r="E24" i="15" s="1"/>
  <c r="I164" i="15"/>
  <c r="H164" i="15"/>
  <c r="G164" i="15"/>
  <c r="G167" i="15" s="1"/>
  <c r="C20" i="15" s="1"/>
  <c r="N164" i="15"/>
  <c r="R143" i="15"/>
  <c r="B8" i="13"/>
  <c r="K167" i="15"/>
  <c r="G20" i="15" s="1"/>
  <c r="H6" i="11"/>
  <c r="K6" i="11" s="1"/>
  <c r="D35" i="12"/>
  <c r="D39" i="12" s="1"/>
  <c r="B8" i="9"/>
  <c r="G8" i="9" s="1"/>
  <c r="B6" i="3" s="1"/>
  <c r="B8" i="12"/>
  <c r="G8" i="12" s="1"/>
  <c r="D8" i="13"/>
  <c r="R58" i="15"/>
  <c r="R87" i="15" s="1"/>
  <c r="AA63" i="15"/>
  <c r="U143" i="15"/>
  <c r="E23" i="15" s="1"/>
  <c r="C7" i="2"/>
  <c r="D7" i="2" s="1"/>
  <c r="E7" i="2" s="1"/>
  <c r="X87" i="15"/>
  <c r="G19" i="15" s="1"/>
  <c r="G21" i="15" s="1"/>
  <c r="N167" i="15"/>
  <c r="I24" i="15" s="1"/>
  <c r="L164" i="15"/>
  <c r="L167" i="15" s="1"/>
  <c r="G24" i="15" s="1"/>
  <c r="G8" i="13" l="1"/>
  <c r="B11" i="3" s="1"/>
  <c r="F42" i="4"/>
  <c r="F41" i="4"/>
  <c r="F36" i="4"/>
  <c r="F34" i="4"/>
  <c r="L45" i="4"/>
  <c r="F40" i="4"/>
  <c r="B52" i="4"/>
  <c r="F30" i="4"/>
  <c r="F13" i="4"/>
  <c r="F9" i="4"/>
  <c r="F32" i="4"/>
  <c r="F28" i="4"/>
  <c r="F24" i="4"/>
  <c r="F22" i="4"/>
  <c r="F20" i="4"/>
  <c r="F14" i="4"/>
  <c r="F11" i="4"/>
  <c r="F43" i="4"/>
  <c r="F18" i="4"/>
  <c r="F16" i="4"/>
  <c r="F6" i="4"/>
  <c r="F4" i="4"/>
  <c r="F15" i="4"/>
  <c r="F12" i="4"/>
  <c r="F10" i="4"/>
  <c r="F8" i="4"/>
  <c r="F35" i="4"/>
  <c r="F7" i="4"/>
  <c r="J47" i="4"/>
  <c r="F23" i="4"/>
  <c r="F38" i="4"/>
  <c r="F33" i="4"/>
  <c r="F31" i="4"/>
  <c r="F21" i="4"/>
  <c r="F17" i="4"/>
  <c r="F5" i="4"/>
  <c r="F39" i="4"/>
  <c r="C31" i="2"/>
  <c r="C30" i="2"/>
  <c r="AB87" i="15"/>
  <c r="C19" i="15"/>
  <c r="C21" i="15" s="1"/>
  <c r="J73" i="6"/>
  <c r="J76" i="6"/>
  <c r="J79" i="6"/>
  <c r="J72" i="6"/>
  <c r="J78" i="6"/>
  <c r="J75" i="6"/>
  <c r="J71" i="6"/>
  <c r="J77" i="6"/>
  <c r="J74" i="6"/>
  <c r="E34" i="6"/>
  <c r="G22" i="5"/>
  <c r="C14" i="7" s="1"/>
  <c r="K9" i="2"/>
  <c r="L7" i="2"/>
  <c r="L10" i="2" s="1"/>
  <c r="L12" i="2"/>
  <c r="L15" i="2" s="1"/>
  <c r="E78" i="6"/>
  <c r="E75" i="6"/>
  <c r="E71" i="6"/>
  <c r="E77" i="6"/>
  <c r="E74" i="6"/>
  <c r="E79" i="6"/>
  <c r="E72" i="6"/>
  <c r="E76" i="6"/>
  <c r="E73" i="6"/>
  <c r="G21" i="5"/>
  <c r="G29" i="5"/>
  <c r="C12" i="7" s="1"/>
  <c r="C38" i="5"/>
  <c r="E25" i="15"/>
  <c r="F26" i="4"/>
  <c r="D26" i="4"/>
  <c r="K69" i="16"/>
  <c r="E41" i="16"/>
  <c r="H77" i="6"/>
  <c r="H74" i="6"/>
  <c r="H73" i="6"/>
  <c r="H76" i="6"/>
  <c r="H79" i="6"/>
  <c r="H72" i="6"/>
  <c r="H75" i="6"/>
  <c r="H71" i="6"/>
  <c r="H78" i="6"/>
  <c r="G25" i="5"/>
  <c r="C8" i="7" s="1"/>
  <c r="C15" i="7" s="1"/>
  <c r="G25" i="15"/>
  <c r="G26" i="15" s="1"/>
  <c r="G27" i="15" s="1"/>
  <c r="G28" i="15" s="1"/>
  <c r="G29" i="15" s="1"/>
  <c r="L24" i="6"/>
  <c r="F34" i="6"/>
  <c r="G77" i="6"/>
  <c r="G74" i="6"/>
  <c r="G73" i="6"/>
  <c r="G76" i="6"/>
  <c r="G78" i="6"/>
  <c r="G79" i="6" s="1"/>
  <c r="G75" i="6"/>
  <c r="G71" i="6"/>
  <c r="G72" i="6"/>
  <c r="I34" i="6"/>
  <c r="B29" i="4"/>
  <c r="L17" i="2"/>
  <c r="L23" i="2" s="1"/>
  <c r="E21" i="15"/>
  <c r="E26" i="15" s="1"/>
  <c r="E27" i="15" s="1"/>
  <c r="E28" i="15" s="1"/>
  <c r="E29" i="15" s="1"/>
  <c r="B15" i="11"/>
  <c r="B23" i="11"/>
  <c r="B7" i="11"/>
  <c r="I25" i="15"/>
  <c r="I26" i="15" s="1"/>
  <c r="I27" i="15" s="1"/>
  <c r="I28" i="15" s="1"/>
  <c r="I29" i="15" s="1"/>
  <c r="G34" i="6"/>
  <c r="G28" i="5"/>
  <c r="C11" i="7" s="1"/>
  <c r="I62" i="6"/>
  <c r="C15" i="11"/>
  <c r="C20" i="11" s="1"/>
  <c r="C23" i="11"/>
  <c r="C7" i="11"/>
  <c r="F62" i="6"/>
  <c r="B27" i="4"/>
  <c r="C62" i="6"/>
  <c r="L55" i="6"/>
  <c r="E38" i="5"/>
  <c r="C31" i="5"/>
  <c r="K8" i="2"/>
  <c r="AB143" i="15"/>
  <c r="C23" i="15"/>
  <c r="C25" i="15" s="1"/>
  <c r="D21" i="16"/>
  <c r="C12" i="6"/>
  <c r="L12" i="6" s="1"/>
  <c r="L11" i="6"/>
  <c r="C33" i="2" s="1"/>
  <c r="J34" i="6"/>
  <c r="F23" i="2" l="1"/>
  <c r="C23" i="2"/>
  <c r="F22" i="2"/>
  <c r="C76" i="6"/>
  <c r="C79" i="6"/>
  <c r="C72" i="6"/>
  <c r="C78" i="6"/>
  <c r="C75" i="6"/>
  <c r="C71" i="6"/>
  <c r="C73" i="6"/>
  <c r="C77" i="6"/>
  <c r="C74" i="6"/>
  <c r="L62" i="6"/>
  <c r="I73" i="6"/>
  <c r="I76" i="6"/>
  <c r="I72" i="6"/>
  <c r="I77" i="6"/>
  <c r="I74" i="6"/>
  <c r="I71" i="6"/>
  <c r="I78" i="6"/>
  <c r="I79" i="6" s="1"/>
  <c r="I75" i="6"/>
  <c r="F19" i="2"/>
  <c r="J15" i="2"/>
  <c r="I15" i="2"/>
  <c r="K15" i="2" s="1"/>
  <c r="F20" i="2"/>
  <c r="C15" i="2"/>
  <c r="D15" i="2" s="1"/>
  <c r="E15" i="2" s="1"/>
  <c r="E27" i="4"/>
  <c r="F27" i="4"/>
  <c r="I10" i="2"/>
  <c r="I11" i="2" s="1"/>
  <c r="J10" i="2"/>
  <c r="J11" i="2" s="1"/>
  <c r="F17" i="2"/>
  <c r="D10" i="2"/>
  <c r="E10" i="2" s="1"/>
  <c r="F16" i="2"/>
  <c r="C10" i="2"/>
  <c r="L24" i="2"/>
  <c r="F78" i="6"/>
  <c r="F75" i="6"/>
  <c r="F71" i="6"/>
  <c r="F77" i="6"/>
  <c r="F74" i="6"/>
  <c r="F73" i="6"/>
  <c r="F72" i="6"/>
  <c r="F76" i="6"/>
  <c r="F79" i="6"/>
  <c r="F29" i="4"/>
  <c r="E29" i="4"/>
  <c r="C17" i="7"/>
  <c r="C26" i="15"/>
  <c r="C27" i="15" s="1"/>
  <c r="F7" i="11"/>
  <c r="B7" i="3" s="1"/>
  <c r="F23" i="11"/>
  <c r="B25" i="4" s="1"/>
  <c r="C35" i="2"/>
  <c r="C34" i="2"/>
  <c r="G37" i="6"/>
  <c r="F37" i="6"/>
  <c r="F40" i="6" s="1"/>
  <c r="E37" i="6"/>
  <c r="E40" i="6" s="1"/>
  <c r="D37" i="6"/>
  <c r="K37" i="6"/>
  <c r="C37" i="6"/>
  <c r="J37" i="6"/>
  <c r="I37" i="6"/>
  <c r="I40" i="6" s="1"/>
  <c r="E38" i="6"/>
  <c r="D38" i="6"/>
  <c r="K38" i="6"/>
  <c r="C38" i="6"/>
  <c r="H37" i="6"/>
  <c r="H40" i="6" s="1"/>
  <c r="J38" i="6"/>
  <c r="I38" i="6"/>
  <c r="F38" i="6"/>
  <c r="H38" i="6"/>
  <c r="G38" i="6"/>
  <c r="B6" i="11"/>
  <c r="F6" i="11" s="1"/>
  <c r="B20" i="11"/>
  <c r="F20" i="11" s="1"/>
  <c r="E23" i="2" l="1"/>
  <c r="C83" i="4"/>
  <c r="B37" i="4"/>
  <c r="E43" i="6"/>
  <c r="E41" i="6"/>
  <c r="E42" i="6"/>
  <c r="L72" i="6"/>
  <c r="B7" i="7" s="1"/>
  <c r="D7" i="7" s="1"/>
  <c r="F42" i="6"/>
  <c r="F43" i="6"/>
  <c r="F41" i="6"/>
  <c r="L79" i="6"/>
  <c r="B14" i="7" s="1"/>
  <c r="L74" i="6"/>
  <c r="B9" i="7" s="1"/>
  <c r="D9" i="7" s="1"/>
  <c r="L76" i="6"/>
  <c r="B11" i="7" s="1"/>
  <c r="D11" i="7" s="1"/>
  <c r="I41" i="6"/>
  <c r="I43" i="6"/>
  <c r="I42" i="6"/>
  <c r="L77" i="6"/>
  <c r="B12" i="7" s="1"/>
  <c r="D12" i="7" s="1"/>
  <c r="I12" i="7" s="1"/>
  <c r="G40" i="6"/>
  <c r="J40" i="6"/>
  <c r="C37" i="2"/>
  <c r="C38" i="2" s="1"/>
  <c r="L73" i="6"/>
  <c r="B8" i="7" s="1"/>
  <c r="D8" i="7" s="1"/>
  <c r="L37" i="6"/>
  <c r="C40" i="6"/>
  <c r="D25" i="4"/>
  <c r="F25" i="4"/>
  <c r="C24" i="2"/>
  <c r="K10" i="2"/>
  <c r="K11" i="2" s="1"/>
  <c r="L71" i="6"/>
  <c r="B6" i="7" s="1"/>
  <c r="H42" i="6"/>
  <c r="H43" i="6"/>
  <c r="H41" i="6"/>
  <c r="B26" i="3"/>
  <c r="D26" i="3" s="1"/>
  <c r="G3" i="3"/>
  <c r="G9" i="3" s="1"/>
  <c r="L75" i="6"/>
  <c r="B10" i="7" s="1"/>
  <c r="D10" i="7" s="1"/>
  <c r="D23" i="2"/>
  <c r="L38" i="6"/>
  <c r="D40" i="6"/>
  <c r="K27" i="15"/>
  <c r="L27" i="15" s="1"/>
  <c r="C28" i="15"/>
  <c r="L78" i="6"/>
  <c r="H81" i="6" l="1"/>
  <c r="H87" i="6"/>
  <c r="H84" i="6"/>
  <c r="H80" i="6"/>
  <c r="H86" i="6"/>
  <c r="H83" i="6"/>
  <c r="H85" i="6"/>
  <c r="H82" i="6"/>
  <c r="K28" i="15"/>
  <c r="L28" i="15" s="1"/>
  <c r="C29" i="15"/>
  <c r="K29" i="15" s="1"/>
  <c r="L40" i="6"/>
  <c r="C41" i="6"/>
  <c r="C42" i="6"/>
  <c r="C43" i="6"/>
  <c r="B15" i="7"/>
  <c r="B17" i="7" s="1"/>
  <c r="D6" i="7"/>
  <c r="I87" i="6"/>
  <c r="I84" i="6"/>
  <c r="I80" i="6"/>
  <c r="I86" i="6"/>
  <c r="I83" i="6"/>
  <c r="I81" i="6"/>
  <c r="I82" i="6"/>
  <c r="I85" i="6"/>
  <c r="E82" i="6"/>
  <c r="E85" i="6"/>
  <c r="E81" i="6"/>
  <c r="E86" i="6"/>
  <c r="E83" i="6"/>
  <c r="E84" i="6"/>
  <c r="E80" i="6"/>
  <c r="E87" i="6"/>
  <c r="D41" i="6"/>
  <c r="D42" i="6"/>
  <c r="D43" i="6"/>
  <c r="D24" i="2"/>
  <c r="E24" i="2" s="1"/>
  <c r="J41" i="6"/>
  <c r="J43" i="6"/>
  <c r="J42" i="6"/>
  <c r="D14" i="7"/>
  <c r="E37" i="4"/>
  <c r="E46" i="4" s="1"/>
  <c r="F37" i="4"/>
  <c r="H83" i="4"/>
  <c r="I19" i="14"/>
  <c r="I49" i="14"/>
  <c r="I24" i="14"/>
  <c r="I21" i="14"/>
  <c r="I46" i="14"/>
  <c r="I40" i="14"/>
  <c r="I43" i="14"/>
  <c r="I41" i="14"/>
  <c r="I16" i="14"/>
  <c r="I37" i="14"/>
  <c r="I33" i="14"/>
  <c r="I38" i="14"/>
  <c r="I36" i="14"/>
  <c r="I50" i="14"/>
  <c r="I47" i="14"/>
  <c r="I23" i="14"/>
  <c r="I25" i="14"/>
  <c r="I30" i="14"/>
  <c r="I27" i="14"/>
  <c r="I26" i="14"/>
  <c r="I44" i="14"/>
  <c r="I42" i="14"/>
  <c r="I17" i="14"/>
  <c r="I39" i="14"/>
  <c r="I22" i="14"/>
  <c r="I20" i="14"/>
  <c r="I34" i="14"/>
  <c r="I48" i="14"/>
  <c r="I31" i="14"/>
  <c r="I45" i="14"/>
  <c r="I28" i="14"/>
  <c r="I18" i="14"/>
  <c r="I32" i="14"/>
  <c r="I29" i="14"/>
  <c r="I35" i="14"/>
  <c r="B25" i="3"/>
  <c r="D3" i="3"/>
  <c r="G42" i="6"/>
  <c r="G41" i="6"/>
  <c r="G43" i="6"/>
  <c r="F82" i="6"/>
  <c r="F85" i="6"/>
  <c r="F81" i="6"/>
  <c r="F87" i="6"/>
  <c r="F84" i="6"/>
  <c r="F80" i="6"/>
  <c r="F86" i="6"/>
  <c r="F83" i="6"/>
  <c r="G29" i="3" l="1"/>
  <c r="I17" i="3"/>
  <c r="H85" i="4" s="1"/>
  <c r="H19" i="3"/>
  <c r="L43" i="6"/>
  <c r="J3" i="3"/>
  <c r="J87" i="6"/>
  <c r="J84" i="6"/>
  <c r="J80" i="6"/>
  <c r="J86" i="6"/>
  <c r="J83" i="6"/>
  <c r="J82" i="6"/>
  <c r="J81" i="6"/>
  <c r="J85" i="6"/>
  <c r="D15" i="7"/>
  <c r="D17" i="7" s="1"/>
  <c r="F17" i="7" s="1"/>
  <c r="D86" i="6"/>
  <c r="D83" i="6"/>
  <c r="D82" i="6"/>
  <c r="D85" i="6"/>
  <c r="D81" i="6"/>
  <c r="D87" i="6"/>
  <c r="D84" i="6"/>
  <c r="D80" i="6"/>
  <c r="C86" i="6"/>
  <c r="C83" i="6"/>
  <c r="C82" i="6"/>
  <c r="C85" i="6"/>
  <c r="L85" i="6" s="1"/>
  <c r="E11" i="7" s="1"/>
  <c r="C87" i="6"/>
  <c r="C84" i="6"/>
  <c r="C80" i="6"/>
  <c r="L80" i="6" s="1"/>
  <c r="E6" i="7" s="1"/>
  <c r="C81" i="6"/>
  <c r="B3" i="7"/>
  <c r="B19" i="4"/>
  <c r="G85" i="6"/>
  <c r="G81" i="6"/>
  <c r="G87" i="6"/>
  <c r="G84" i="6"/>
  <c r="G80" i="6"/>
  <c r="G82" i="6"/>
  <c r="G86" i="6"/>
  <c r="G83" i="6"/>
  <c r="D19" i="16"/>
  <c r="D22" i="16" s="1"/>
  <c r="L29" i="15"/>
  <c r="L84" i="6" l="1"/>
  <c r="E10" i="7" s="1"/>
  <c r="J10" i="3"/>
  <c r="J9" i="3"/>
  <c r="F79" i="4"/>
  <c r="L87" i="6"/>
  <c r="E14" i="7" s="1"/>
  <c r="E22" i="16"/>
  <c r="K66" i="16"/>
  <c r="K67" i="16" s="1"/>
  <c r="D43" i="16"/>
  <c r="E43" i="16" s="1"/>
  <c r="L82" i="6"/>
  <c r="E8" i="7" s="1"/>
  <c r="D19" i="4"/>
  <c r="D46" i="4" s="1"/>
  <c r="F19" i="4"/>
  <c r="J44" i="4"/>
  <c r="B44" i="4"/>
  <c r="L83" i="6"/>
  <c r="E9" i="7" s="1"/>
  <c r="F74" i="4"/>
  <c r="L86" i="6"/>
  <c r="E12" i="7" s="1"/>
  <c r="F22" i="13"/>
  <c r="F28" i="13" s="1"/>
  <c r="F32" i="13" s="1"/>
  <c r="F41" i="13" s="1"/>
  <c r="F42" i="13" s="1"/>
  <c r="C14" i="11"/>
  <c r="C19" i="11" s="1"/>
  <c r="F8" i="8"/>
  <c r="E22" i="13"/>
  <c r="E28" i="13" s="1"/>
  <c r="E32" i="13" s="1"/>
  <c r="E41" i="13" s="1"/>
  <c r="E42" i="13" s="1"/>
  <c r="B14" i="11"/>
  <c r="B19" i="11" s="1"/>
  <c r="E8" i="8"/>
  <c r="D22" i="13"/>
  <c r="D28" i="13" s="1"/>
  <c r="F22" i="12"/>
  <c r="F28" i="12" s="1"/>
  <c r="F32" i="12" s="1"/>
  <c r="F41" i="12" s="1"/>
  <c r="F42" i="12" s="1"/>
  <c r="D8" i="8"/>
  <c r="C22" i="13"/>
  <c r="C28" i="13" s="1"/>
  <c r="E22" i="12"/>
  <c r="E28" i="12" s="1"/>
  <c r="E32" i="12" s="1"/>
  <c r="E41" i="12" s="1"/>
  <c r="E42" i="12" s="1"/>
  <c r="J14" i="11"/>
  <c r="J19" i="11" s="1"/>
  <c r="C8" i="8"/>
  <c r="B22" i="13"/>
  <c r="B28" i="13" s="1"/>
  <c r="D22" i="12"/>
  <c r="D28" i="12" s="1"/>
  <c r="D32" i="12" s="1"/>
  <c r="D41" i="12" s="1"/>
  <c r="D42" i="12" s="1"/>
  <c r="I14" i="11"/>
  <c r="I19" i="11" s="1"/>
  <c r="B8" i="8"/>
  <c r="C22" i="12"/>
  <c r="C28" i="12" s="1"/>
  <c r="H14" i="11"/>
  <c r="H19" i="11" s="1"/>
  <c r="E14" i="11"/>
  <c r="E19" i="11" s="1"/>
  <c r="D14" i="11"/>
  <c r="D19" i="11" s="1"/>
  <c r="B22" i="12"/>
  <c r="B28" i="12" s="1"/>
  <c r="L81" i="6"/>
  <c r="E7" i="7" s="1"/>
  <c r="E15" i="7" s="1"/>
  <c r="F44" i="4" l="1"/>
  <c r="J49" i="4"/>
  <c r="F14" i="9"/>
  <c r="F19" i="9" s="1"/>
  <c r="E14" i="9"/>
  <c r="E19" i="9" s="1"/>
  <c r="D14" i="9"/>
  <c r="D19" i="9" s="1"/>
  <c r="C14" i="9"/>
  <c r="C19" i="9" s="1"/>
  <c r="B14" i="9"/>
  <c r="B19" i="9" s="1"/>
  <c r="B12" i="8"/>
  <c r="B15" i="8" s="1"/>
  <c r="G28" i="12"/>
  <c r="G28" i="13"/>
  <c r="B45" i="4"/>
  <c r="F75" i="4"/>
  <c r="F77" i="4"/>
  <c r="F81" i="4" s="1"/>
  <c r="B49" i="4" s="1"/>
  <c r="N67" i="16"/>
  <c r="M67" i="16"/>
  <c r="L67" i="16"/>
  <c r="K70" i="16"/>
  <c r="B16" i="8" l="1"/>
  <c r="G15" i="8"/>
  <c r="N70" i="16"/>
  <c r="M70" i="16"/>
  <c r="L70" i="16"/>
  <c r="F45" i="4"/>
  <c r="J45" i="4"/>
  <c r="G2" i="5" s="1"/>
  <c r="B9" i="5" s="1"/>
  <c r="G9" i="5" l="1"/>
  <c r="C3" i="7" s="1"/>
  <c r="D3" i="7" s="1"/>
  <c r="B33" i="5"/>
  <c r="B31" i="5"/>
  <c r="B35" i="5"/>
  <c r="B37" i="5"/>
  <c r="G37" i="5" s="1"/>
  <c r="F14" i="7" s="1"/>
  <c r="G14" i="7" s="1"/>
  <c r="B32" i="5"/>
  <c r="B36" i="5"/>
  <c r="B34" i="5"/>
  <c r="B30" i="5"/>
  <c r="B17" i="8"/>
  <c r="B18" i="8"/>
  <c r="B22" i="8"/>
  <c r="B25" i="8"/>
  <c r="B27" i="8"/>
  <c r="B21" i="8"/>
  <c r="G17" i="5" l="1"/>
  <c r="F10" i="7" s="1"/>
  <c r="G10" i="7" s="1"/>
  <c r="I10" i="7" s="1"/>
  <c r="G34" i="5"/>
  <c r="D21" i="11"/>
  <c r="D25" i="11" s="1"/>
  <c r="D26" i="11" s="1"/>
  <c r="D21" i="9"/>
  <c r="D25" i="9" s="1"/>
  <c r="C21" i="11"/>
  <c r="C25" i="11" s="1"/>
  <c r="C26" i="11" s="1"/>
  <c r="C21" i="9"/>
  <c r="C25" i="9" s="1"/>
  <c r="C26" i="9" s="1"/>
  <c r="B21" i="11"/>
  <c r="B25" i="11" s="1"/>
  <c r="B21" i="9"/>
  <c r="B25" i="9" s="1"/>
  <c r="J21" i="11"/>
  <c r="J25" i="11" s="1"/>
  <c r="I21" i="11"/>
  <c r="I25" i="11" s="1"/>
  <c r="E21" i="11"/>
  <c r="E25" i="11" s="1"/>
  <c r="F21" i="9"/>
  <c r="F25" i="9" s="1"/>
  <c r="E21" i="9"/>
  <c r="E25" i="9" s="1"/>
  <c r="H21" i="11"/>
  <c r="H25" i="11" s="1"/>
  <c r="G32" i="5"/>
  <c r="G15" i="5"/>
  <c r="F8" i="7" s="1"/>
  <c r="G8" i="7" s="1"/>
  <c r="I8" i="7" s="1"/>
  <c r="G30" i="5"/>
  <c r="B38" i="5"/>
  <c r="G13" i="5"/>
  <c r="G36" i="5"/>
  <c r="G19" i="5"/>
  <c r="F12" i="7" s="1"/>
  <c r="G12" i="7" s="1"/>
  <c r="G31" i="5"/>
  <c r="G14" i="5"/>
  <c r="G18" i="5"/>
  <c r="G35" i="5"/>
  <c r="G16" i="5"/>
  <c r="G33" i="5"/>
  <c r="G38" i="5" l="1"/>
  <c r="G25" i="9"/>
  <c r="B26" i="9"/>
  <c r="F7" i="7"/>
  <c r="B75" i="4"/>
  <c r="F25" i="11"/>
  <c r="B26" i="11"/>
  <c r="I10" i="14"/>
  <c r="I9" i="14"/>
  <c r="D47" i="16" s="1"/>
  <c r="I14" i="14"/>
  <c r="D49" i="16" s="1"/>
  <c r="I6" i="14"/>
  <c r="I13" i="14"/>
  <c r="I5" i="14"/>
  <c r="I4" i="14"/>
  <c r="I12" i="14"/>
  <c r="D48" i="16" s="1"/>
  <c r="K25" i="11"/>
  <c r="H26" i="11"/>
  <c r="C31" i="9"/>
  <c r="C28" i="9"/>
  <c r="C27" i="9"/>
  <c r="C32" i="9"/>
  <c r="D28" i="11"/>
  <c r="D27" i="11"/>
  <c r="D31" i="11"/>
  <c r="D32" i="11"/>
  <c r="F9" i="7"/>
  <c r="B77" i="4"/>
  <c r="C28" i="11"/>
  <c r="C27" i="11"/>
  <c r="C31" i="11"/>
  <c r="C32" i="11"/>
  <c r="B74" i="4"/>
  <c r="F6" i="7"/>
  <c r="F11" i="7"/>
  <c r="B79" i="4"/>
  <c r="B81" i="4" l="1"/>
  <c r="B47" i="4" s="1"/>
  <c r="B85" i="16" s="1"/>
  <c r="B28" i="11"/>
  <c r="B27" i="11"/>
  <c r="F27" i="11" s="1"/>
  <c r="B31" i="11"/>
  <c r="C61" i="16" s="1"/>
  <c r="D61" i="16" s="1"/>
  <c r="B32" i="11"/>
  <c r="H75" i="4"/>
  <c r="G7" i="7"/>
  <c r="I7" i="7" s="1"/>
  <c r="H79" i="4"/>
  <c r="G11" i="7"/>
  <c r="I11" i="7" s="1"/>
  <c r="C17" i="13"/>
  <c r="C31" i="13" s="1"/>
  <c r="C32" i="13" s="1"/>
  <c r="C41" i="13" s="1"/>
  <c r="C42" i="13" s="1"/>
  <c r="E17" i="12"/>
  <c r="E31" i="12" s="1"/>
  <c r="B17" i="13"/>
  <c r="B31" i="13" s="1"/>
  <c r="B32" i="13" s="1"/>
  <c r="B41" i="13" s="1"/>
  <c r="B42" i="13" s="1"/>
  <c r="D17" i="12"/>
  <c r="D31" i="12" s="1"/>
  <c r="C17" i="12"/>
  <c r="C31" i="12" s="1"/>
  <c r="C32" i="12" s="1"/>
  <c r="C41" i="12" s="1"/>
  <c r="C42" i="12" s="1"/>
  <c r="B17" i="12"/>
  <c r="B31" i="12" s="1"/>
  <c r="B32" i="12" s="1"/>
  <c r="B41" i="12" s="1"/>
  <c r="B42" i="12" s="1"/>
  <c r="C71" i="16" s="1"/>
  <c r="D71" i="16" s="1"/>
  <c r="F17" i="13"/>
  <c r="F31" i="13" s="1"/>
  <c r="B27" i="9"/>
  <c r="B31" i="9"/>
  <c r="E17" i="13"/>
  <c r="E31" i="13" s="1"/>
  <c r="B28" i="9"/>
  <c r="D17" i="13"/>
  <c r="D31" i="13" s="1"/>
  <c r="D32" i="13" s="1"/>
  <c r="D41" i="13" s="1"/>
  <c r="D42" i="13" s="1"/>
  <c r="F17" i="12"/>
  <c r="F31" i="12" s="1"/>
  <c r="B32" i="9"/>
  <c r="H74" i="4"/>
  <c r="F15" i="7"/>
  <c r="G6" i="7"/>
  <c r="H77" i="4"/>
  <c r="G9" i="7"/>
  <c r="I9" i="7" s="1"/>
  <c r="H31" i="11"/>
  <c r="C62" i="16" s="1"/>
  <c r="D62" i="16" s="1"/>
  <c r="H32" i="11"/>
  <c r="H28" i="11"/>
  <c r="H27" i="11"/>
  <c r="K27" i="11" s="1"/>
  <c r="H81" i="4" l="1"/>
  <c r="B50" i="4" s="1"/>
  <c r="B48" i="4" s="1"/>
  <c r="G15" i="7"/>
  <c r="I6" i="7"/>
  <c r="C73" i="16"/>
  <c r="D73" i="16" s="1"/>
  <c r="C72" i="16"/>
  <c r="D72" i="16" s="1"/>
  <c r="D77" i="16" s="1"/>
  <c r="E77" i="16" s="1"/>
  <c r="D67" i="16"/>
  <c r="E67" i="16" s="1"/>
  <c r="I17" i="7" l="1"/>
  <c r="I15" i="7"/>
  <c r="B86" i="16"/>
  <c r="B87" i="16" s="1"/>
  <c r="C48" i="4"/>
  <c r="C47" i="4"/>
  <c r="C85" i="16" s="1"/>
  <c r="C49" i="4"/>
  <c r="C50" i="4"/>
  <c r="C86" i="16" l="1"/>
  <c r="K10" i="7"/>
  <c r="I13" i="7"/>
  <c r="I1" i="7"/>
  <c r="I7" i="14" l="1"/>
  <c r="I8" i="14"/>
  <c r="I11" i="14"/>
  <c r="I15" i="14"/>
  <c r="D50" i="16" s="1"/>
  <c r="D58" i="16" s="1"/>
  <c r="I3" i="14"/>
  <c r="K72" i="16" l="1"/>
  <c r="K73" i="16" s="1"/>
  <c r="E58" i="16"/>
  <c r="D79" i="16"/>
  <c r="G90" i="16" l="1"/>
  <c r="D88" i="16"/>
  <c r="E88" i="16" s="1"/>
  <c r="G87" i="16"/>
  <c r="E83" i="16"/>
  <c r="G83" i="16" s="1"/>
  <c r="E79" i="16"/>
  <c r="N73" i="16"/>
  <c r="M73" i="16"/>
  <c r="L73" i="16"/>
  <c r="D90" i="16" l="1"/>
  <c r="D92" i="16" l="1"/>
  <c r="E92" i="16" s="1"/>
  <c r="E90" i="16"/>
  <c r="D94" i="16" l="1"/>
  <c r="E94" i="16" s="1"/>
  <c r="G94" i="16" s="1"/>
</calcChain>
</file>

<file path=xl/comments1.xml><?xml version="1.0" encoding="utf-8"?>
<comments xmlns="http://schemas.openxmlformats.org/spreadsheetml/2006/main">
  <authors>
    <author>MD</author>
  </authors>
  <commentList>
    <comment ref="L3" authorId="0" shapeId="0">
      <text>
        <r>
          <rPr>
            <b/>
            <sz val="8"/>
            <color rgb="FF000000"/>
            <rFont val="Arial"/>
            <family val="2"/>
          </rPr>
          <t>Wenn eine Aufsplittung der Beträge nicht möglich ist, geben Sie hier den Gesamtbetrag ein und schätzen sie die %tuale Zusammensetzung (</t>
        </r>
        <r>
          <rPr>
            <sz val="8"/>
            <color rgb="FF000000"/>
            <rFont val="Arial"/>
            <family val="2"/>
          </rPr>
          <t>(grüne Felder)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A18" authorId="0" shapeId="0">
      <text>
        <r>
          <rPr>
            <b/>
            <sz val="8"/>
            <color rgb="FF000000"/>
            <rFont val="Arial"/>
            <family val="2"/>
          </rPr>
          <t xml:space="preserve">In diese Zellen können weitere Arbeitsbereiche eingefügt werden.
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E1" authorId="0" shapeId="0">
      <text>
        <r>
          <rPr>
            <b/>
            <sz val="8"/>
            <color rgb="FF000000"/>
            <rFont val="Arial"/>
            <family val="2"/>
          </rPr>
          <t xml:space="preserve">Sollten mehr Spalten benötigt werden, so ist diese Spalte zu markieren und zu kopieren.
</t>
        </r>
        <r>
          <rPr>
            <sz val="8"/>
            <color rgb="FF000000"/>
            <rFont val="Arial"/>
            <family val="2"/>
          </rPr>
          <t>(Markieren, rechte Maustaste, klicken auf "Kopieren", dann auf "Kopierte Zellen einfügen")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J1" authorId="0" shapeId="0">
      <text>
        <r>
          <rPr>
            <b/>
            <sz val="8"/>
            <color rgb="FF000000"/>
            <rFont val="Arial"/>
            <family val="2"/>
          </rPr>
          <t xml:space="preserve">Sollten mehr Spalten benötigt werden, so ist diese Spalte zu markieren und zu kopieren.
</t>
        </r>
        <r>
          <rPr>
            <sz val="8"/>
            <color rgb="FF000000"/>
            <rFont val="Arial"/>
            <family val="2"/>
          </rPr>
          <t>(Markieren, rechte Maustaste, klicken auf "Kopieren", dann auf "Kopierte Zellen einfügen")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A8" authorId="0" shapeId="0">
      <text>
        <r>
          <rPr>
            <b/>
            <sz val="8"/>
            <color rgb="FF000000"/>
            <rFont val="Arial"/>
            <family val="2"/>
          </rPr>
          <t xml:space="preserve">Der Restwert wird negativ, wenn Abbruch- und Entsorgungskosten einzuplanen sind
</t>
        </r>
      </text>
    </comment>
    <comment ref="G8" authorId="0" shapeId="0">
      <text>
        <r>
          <rPr>
            <b/>
            <sz val="8"/>
            <color rgb="FF000000"/>
            <rFont val="Arial"/>
            <family val="2"/>
          </rPr>
          <t xml:space="preserve">Der Restwert wird negativ, wenn Abbruch- und Entsorgungskosten einzuplanen sind
</t>
        </r>
      </text>
    </comment>
  </commentList>
</comments>
</file>

<file path=xl/comments4.xml><?xml version="1.0" encoding="utf-8"?>
<comments xmlns="http://schemas.openxmlformats.org/spreadsheetml/2006/main">
  <authors>
    <author>MD</author>
  </authors>
  <commentList>
    <comment ref="L2" authorId="0" shapeId="0">
      <text>
        <r>
          <rPr>
            <b/>
            <sz val="8"/>
            <color rgb="FF000000"/>
            <rFont val="Arial"/>
            <family val="2"/>
          </rPr>
          <t xml:space="preserve">Eingabe erfolgt durch Auswahlliste in dieser Spalte.
</t>
        </r>
      </text>
    </comment>
    <comment ref="B8" authorId="0" shapeId="0">
      <text>
        <r>
          <rPr>
            <b/>
            <sz val="8"/>
            <color rgb="FF000000"/>
            <rFont val="Arial"/>
            <family val="2"/>
          </rPr>
          <t xml:space="preserve">In dieser Spalte können Sie auch Formeln verwenden.
</t>
        </r>
        <r>
          <rPr>
            <sz val="8"/>
            <color rgb="FF000000"/>
            <rFont val="Arial"/>
            <family val="2"/>
          </rPr>
          <t>Bsp.: 15er Transportsteige:</t>
        </r>
        <r>
          <rPr>
            <sz val="8"/>
            <color rgb="FF000000"/>
            <rFont val="Arial"/>
            <family val="2"/>
          </rPr>
          <t xml:space="preserve">
=1/15 liefert den Wert 0,07</t>
        </r>
      </text>
    </comment>
    <comment ref="D19" authorId="0" shapeId="0">
      <text>
        <r>
          <rPr>
            <b/>
            <sz val="8"/>
            <color rgb="FF000000"/>
            <rFont val="Arial"/>
            <family val="2"/>
          </rPr>
          <t xml:space="preserve">Um die Heizkosten zu kalkulieren muss die Tabelle "Heiz" ausgefüllt werden.
</t>
        </r>
      </text>
    </comment>
    <comment ref="D20" authorId="0" shapeId="0">
      <text>
        <r>
          <rPr>
            <b/>
            <sz val="8"/>
            <color rgb="FF000000"/>
            <rFont val="Arial"/>
            <family val="2"/>
          </rPr>
          <t xml:space="preserve">Wird hier ein Wert eingegeben, so wird mit diesem weiter gerechnet. Soll Excel eine Pauschale errechnen, geben Sie hier den Wert 0,00 € ein.
</t>
        </r>
      </text>
    </comment>
    <comment ref="D21" authorId="0" shapeId="0">
      <text>
        <r>
          <rPr>
            <b/>
            <sz val="8"/>
            <color rgb="FF000000"/>
            <rFont val="Arial"/>
            <family val="2"/>
          </rPr>
          <t xml:space="preserve">Pauschale wird anhand von Werten aus der GuV ermittelt
</t>
        </r>
      </text>
    </comment>
    <comment ref="A46" authorId="0" shapeId="0">
      <text>
        <r>
          <rPr>
            <b/>
            <sz val="8"/>
            <color rgb="FF000000"/>
            <rFont val="Arial"/>
            <family val="2"/>
          </rPr>
          <t xml:space="preserve">Die angegebenen Arbeitsleistungen werden aus der Tabelle Arbeit &amp;Material entnommen und sind dort ggf. zu korrigieren
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A82" authorId="0" shapeId="0">
      <text>
        <r>
          <rPr>
            <b/>
            <sz val="8"/>
            <color rgb="FF000000"/>
            <rFont val="Arial"/>
            <family val="2"/>
          </rPr>
          <t xml:space="preserve">Geben Sie hier einen Abschlag ein.
</t>
        </r>
      </text>
    </comment>
    <comment ref="A84" authorId="0" shapeId="0">
      <text>
        <r>
          <rPr>
            <sz val="8"/>
            <color rgb="FF000000"/>
            <rFont val="Arial"/>
            <family val="2"/>
          </rPr>
          <t xml:space="preserve">Dieser Aufschlag wird auf Basis der GuV als Gemeinkostenanteil auf die Einzelkosten berechnet.
</t>
        </r>
      </text>
    </comment>
    <comment ref="A92" authorId="0" shapeId="0">
      <text>
        <r>
          <rPr>
            <b/>
            <sz val="8"/>
            <color rgb="FF000000"/>
            <rFont val="Arial"/>
            <family val="2"/>
          </rPr>
          <t xml:space="preserve">Geben Sie hier Ihren geplanten Aufschlag ein
</t>
        </r>
      </text>
    </comment>
  </commentList>
</comments>
</file>

<file path=xl/sharedStrings.xml><?xml version="1.0" encoding="utf-8"?>
<sst xmlns="http://schemas.openxmlformats.org/spreadsheetml/2006/main" count="1021" uniqueCount="660">
  <si>
    <t>Betriebskalkulation</t>
  </si>
  <si>
    <t>Verwendete Symbolfarben:</t>
  </si>
  <si>
    <t>xyz</t>
  </si>
  <si>
    <t xml:space="preserve"> =</t>
  </si>
  <si>
    <t>Diese Felder enthalten Kommentare, mit wichtigen Informationen</t>
  </si>
  <si>
    <t>Felder mit wichtigen Zwischenergebnissen (werden automatisch berechnet)</t>
  </si>
  <si>
    <t>Diese Felder müssen unbedingt ausgefüllt werden (Info im Kommentar beachten!)</t>
  </si>
  <si>
    <t>Diese Felder können ausgefüllt werden (manchmal nützlich zur besseren Übersicht)</t>
  </si>
  <si>
    <t>Gesamtergebnis</t>
  </si>
  <si>
    <t>Irgendwo fehlt eine Eingabe in einem der gelben Felder</t>
  </si>
  <si>
    <t>Copy!</t>
  </si>
  <si>
    <t>Spalten mit dieser Überschrift dienen zum Erzeugen neuer Spalten und sollten nicht überschrieben werden</t>
  </si>
  <si>
    <t>Inhaltsverzeichnis:</t>
  </si>
  <si>
    <t>Struktur</t>
  </si>
  <si>
    <t>Zeigt die Flächen, Arbeitskraft- und Absatzstrukturen ihres Betriebes</t>
  </si>
  <si>
    <t>Bilanz</t>
  </si>
  <si>
    <t>Erstellt eine Bilanzanalyse anhand der eingegebenen Daten</t>
  </si>
  <si>
    <t>GuV</t>
  </si>
  <si>
    <t>Ermittelt die EK-GK-Verteilung und zeigt die Wertschöpfung des Betriebes</t>
  </si>
  <si>
    <t>Lohnansatz</t>
  </si>
  <si>
    <t>Errechnet den Lohnansatz für die Fam.-AK</t>
  </si>
  <si>
    <t>Lohnkalk</t>
  </si>
  <si>
    <t>Lohnkalkulation für die entlohnten Mitarbeiter</t>
  </si>
  <si>
    <t>BDL</t>
  </si>
  <si>
    <t>Kalkulation des Betriebsdurchschnittslohnes</t>
  </si>
  <si>
    <t>Boden</t>
  </si>
  <si>
    <t>Kalkulation der Bodenkosten für verschiedene Flächen</t>
  </si>
  <si>
    <t>Gebäude</t>
  </si>
  <si>
    <t>Kalkulation der Gebäudekosten (Gemeinkostenbereich)</t>
  </si>
  <si>
    <t>Gewächshäuser</t>
  </si>
  <si>
    <t>Kalkulation der Gebäudekosten (Einzelkostenbereich)</t>
  </si>
  <si>
    <t>Maschinen</t>
  </si>
  <si>
    <t>Kalkulation der direkt zurechenbaren Maschinenkosten</t>
  </si>
  <si>
    <t>Fuhrpark</t>
  </si>
  <si>
    <t>Kalkulation der Maschinen im Gemeinkostenbereich</t>
  </si>
  <si>
    <t>Arbeit&amp;Material</t>
  </si>
  <si>
    <t>Dient zur Erfassung von Grunddaten für die Kulturen</t>
  </si>
  <si>
    <t>Heiz</t>
  </si>
  <si>
    <t>Ermittelt die Heizkosten für eine ausgewählte Kultur</t>
  </si>
  <si>
    <t>Kultur</t>
  </si>
  <si>
    <t>Kalkuliert eine ausgewählte Kultur und weist den Deckungsbeitrag aus</t>
  </si>
  <si>
    <t>allgemeine Angaben</t>
  </si>
  <si>
    <t>Name des Betriebes:</t>
  </si>
  <si>
    <t>H. B. Nichts, Gartenbau</t>
  </si>
  <si>
    <t>Produktionsrichtung:</t>
  </si>
  <si>
    <t>Zierpflanzenbau Produktionsbetrieb</t>
  </si>
  <si>
    <t>ca 1,5 ha Gewächshausfläche</t>
  </si>
  <si>
    <t>Topfpflanzen, Beet- und Balkonpflanzen, Cyclamen, Poinsettien</t>
  </si>
  <si>
    <t>Mitarbeiter: 2 Gärtner, 1 ungelernte (450 €), 2 Auszubildende, nach Saison 2-3 Aushilfen</t>
  </si>
  <si>
    <t>Chef, Chefin</t>
  </si>
  <si>
    <t>Betrieb:</t>
  </si>
  <si>
    <t>Strukturdaten:</t>
  </si>
  <si>
    <t>Betriebsflächen:</t>
  </si>
  <si>
    <t>insgesamt</t>
  </si>
  <si>
    <t>davon heizbar</t>
  </si>
  <si>
    <t>nicht heizbar</t>
  </si>
  <si>
    <t>ha</t>
  </si>
  <si>
    <t>a</t>
  </si>
  <si>
    <t>m²</t>
  </si>
  <si>
    <t>1.Hochglas</t>
  </si>
  <si>
    <t>heizbar:</t>
  </si>
  <si>
    <t>incl. Folienhäuser</t>
  </si>
  <si>
    <t>1.1. Zierpflanzen</t>
  </si>
  <si>
    <t>1.2. Gemüse</t>
  </si>
  <si>
    <t>1.3. Sonstiges</t>
  </si>
  <si>
    <t>davon heizbar:</t>
  </si>
  <si>
    <t>2. Niederglasflächen</t>
  </si>
  <si>
    <t>incl. Folientunnel</t>
  </si>
  <si>
    <t>2.1. Zierpflanzen</t>
  </si>
  <si>
    <t>2.2. Gemüse</t>
  </si>
  <si>
    <t>2.3. Sonstiges</t>
  </si>
  <si>
    <t>3. Freilandflächen</t>
  </si>
  <si>
    <t>incl. Flachfolie</t>
  </si>
  <si>
    <t>3.1. Zierpflanzen</t>
  </si>
  <si>
    <t>3.2. Gemüse</t>
  </si>
  <si>
    <t>3.3. Obst</t>
  </si>
  <si>
    <t>3.4. Baumschule</t>
  </si>
  <si>
    <t>4. Fläche mit landw.Kulturen</t>
  </si>
  <si>
    <t>5. Sonstige Flächen</t>
  </si>
  <si>
    <t>Summe 1-5</t>
  </si>
  <si>
    <t>davon Pachtflächen</t>
  </si>
  <si>
    <t>Arbeitskräfte:</t>
  </si>
  <si>
    <t>1. Betriebsleiter/in</t>
  </si>
  <si>
    <t>2. Sonstige</t>
  </si>
  <si>
    <t>Summe Familien-AK</t>
  </si>
  <si>
    <t>Entlohnte Arbeitskräfte</t>
  </si>
  <si>
    <t>Summe</t>
  </si>
  <si>
    <t>davon ständige AK:</t>
  </si>
  <si>
    <t>ständige AK</t>
  </si>
  <si>
    <t>Saison-AK</t>
  </si>
  <si>
    <t>Absatzstruktur</t>
  </si>
  <si>
    <t>Umsatz in %</t>
  </si>
  <si>
    <t>1. Direktabsatz</t>
  </si>
  <si>
    <t>2. Großmarkt, Großhandel</t>
  </si>
  <si>
    <t>3. Fahrverkauf</t>
  </si>
  <si>
    <t>4. Absatzgenossenschaft, Versteig.</t>
  </si>
  <si>
    <t>5. Sonstige Absatzwege</t>
  </si>
  <si>
    <t>Summe:</t>
  </si>
  <si>
    <t>Bilanzanalyse</t>
  </si>
  <si>
    <t>Aktiva</t>
  </si>
  <si>
    <t>Passiva</t>
  </si>
  <si>
    <t>Zins</t>
  </si>
  <si>
    <t>1. Anlagevermögen</t>
  </si>
  <si>
    <t>1. Eigenkapital</t>
  </si>
  <si>
    <t>Anlagevermögen:</t>
  </si>
  <si>
    <t>Eigenkapital</t>
  </si>
  <si>
    <t>1.1 Boden</t>
  </si>
  <si>
    <t>2. Rücklagen</t>
  </si>
  <si>
    <t>Umlaufvermögen:</t>
  </si>
  <si>
    <t>Fremdkapital</t>
  </si>
  <si>
    <t>1.2 Wohnhaus</t>
  </si>
  <si>
    <t>3. Wertberichtigungen</t>
  </si>
  <si>
    <t>davon:</t>
  </si>
  <si>
    <t>1.3 Wirtschaftsgebäude und bauliche Anlagen</t>
  </si>
  <si>
    <t>4. Rückstellungen</t>
  </si>
  <si>
    <t>FK lang</t>
  </si>
  <si>
    <t>1.4 Gewächshäuser</t>
  </si>
  <si>
    <t>5. Fremdkapital</t>
  </si>
  <si>
    <t>FK kurz</t>
  </si>
  <si>
    <t>1.5 Bodenverbesserungen</t>
  </si>
  <si>
    <t>5.1 langfristig (10 J und mehr)</t>
  </si>
  <si>
    <t>1.6 Dauerkulturen</t>
  </si>
  <si>
    <t>5.2 mittelfristig (1-10 Jahre)</t>
  </si>
  <si>
    <t>AV : UV</t>
  </si>
  <si>
    <t>:1</t>
  </si>
  <si>
    <t>EK : FK</t>
  </si>
  <si>
    <t>1.7 Betriebsvorr. Masch., Geräte, Heizanl.</t>
  </si>
  <si>
    <t>5.3 kurzfristig (unter 1 Jahr)</t>
  </si>
  <si>
    <t>EK in % des GK:</t>
  </si>
  <si>
    <t>1.8 Fuhrpark</t>
  </si>
  <si>
    <t>5.4 Kontokorrentkredite</t>
  </si>
  <si>
    <t>Fk lang in % von FK</t>
  </si>
  <si>
    <t>1.9 Beteiligungen</t>
  </si>
  <si>
    <t>5.5 Verbindlichkeiten</t>
  </si>
  <si>
    <t>Fk kurz in % von FK</t>
  </si>
  <si>
    <t>1.10 Sonstiges</t>
  </si>
  <si>
    <t>6. Rechnungsabgrenzung</t>
  </si>
  <si>
    <t>Barliquidität:</t>
  </si>
  <si>
    <t>2. Viehvermögen</t>
  </si>
  <si>
    <t>einzugsbed. Liquid.:</t>
  </si>
  <si>
    <t>3. Umlaufvermögen</t>
  </si>
  <si>
    <t>3.1 Selbst erzeugte Vorräte</t>
  </si>
  <si>
    <t>3.2 zugekaufte Vorräte</t>
  </si>
  <si>
    <t>Eigenkapitalzins:</t>
  </si>
  <si>
    <t>3.2.1 Heizmaterial</t>
  </si>
  <si>
    <t>Fremdkapitalzins:</t>
  </si>
  <si>
    <t>3.2.2 Kulturgef., Substrate</t>
  </si>
  <si>
    <t>Mischzins:</t>
  </si>
  <si>
    <t>3.2.3 Sonstiges</t>
  </si>
  <si>
    <t>3.3 Forderungen</t>
  </si>
  <si>
    <t>3.4 Bank und Postscheck</t>
  </si>
  <si>
    <t>graphische Auswertung: siehe unten</t>
  </si>
  <si>
    <t>3.5 Kasse</t>
  </si>
  <si>
    <t>4. Rechnungsabgrenzung</t>
  </si>
  <si>
    <t>5. Unterbilanz</t>
  </si>
  <si>
    <t>FK mittel</t>
  </si>
  <si>
    <t>Gewinn- und Verlustrechnung</t>
  </si>
  <si>
    <t>Aufwand</t>
  </si>
  <si>
    <t>Ertrag</t>
  </si>
  <si>
    <t>1. Spezialaufwand Eigenproduktion</t>
  </si>
  <si>
    <t>EK - GK</t>
  </si>
  <si>
    <t>in % v. BE</t>
  </si>
  <si>
    <t>1.Eigenproduktion, Handel, Dienstleistungen</t>
  </si>
  <si>
    <t>1.1 Saat- und Pflanzgut</t>
  </si>
  <si>
    <t>EK</t>
  </si>
  <si>
    <t>in €</t>
  </si>
  <si>
    <t>in %</t>
  </si>
  <si>
    <t>1.2 Düngemittel</t>
  </si>
  <si>
    <t>1.1 Zierpflanzen</t>
  </si>
  <si>
    <t>1.3 Pflanzenschutz</t>
  </si>
  <si>
    <t>davon</t>
  </si>
  <si>
    <t>1.4 Kulturgefäße und Substrate</t>
  </si>
  <si>
    <t>Topfpflanzen</t>
  </si>
  <si>
    <t>1.5 Heizmaterial (betriebl.)</t>
  </si>
  <si>
    <t>Schnittblumen</t>
  </si>
  <si>
    <t>1.6 Strom und Wasser</t>
  </si>
  <si>
    <t>Jungpflanzen</t>
  </si>
  <si>
    <t>Stauden</t>
  </si>
  <si>
    <t>sonst.</t>
  </si>
  <si>
    <t>1.9 Sonstiger Spezialaufwand</t>
  </si>
  <si>
    <t>2. Spezialaufwand Handel- und Dienstleistungen</t>
  </si>
  <si>
    <t>1.2 Gemüse</t>
  </si>
  <si>
    <t>2.1 gärtn. Handelsware zum Wiederverkauf</t>
  </si>
  <si>
    <t>2.2 sonst. Handelsware zum Wiederverkauf</t>
  </si>
  <si>
    <t>Freilandgemüse</t>
  </si>
  <si>
    <t>2.3 Material für Dienstleistungen</t>
  </si>
  <si>
    <t>Unterglasgemüse</t>
  </si>
  <si>
    <t>2.4 sonst. Spezialaufwand</t>
  </si>
  <si>
    <t>Pilze</t>
  </si>
  <si>
    <t>3. Lohnaufwand</t>
  </si>
  <si>
    <t>3.1 Löhne und Gehälter</t>
  </si>
  <si>
    <t>1.3 Baumschule</t>
  </si>
  <si>
    <t>1.4 Obstbau</t>
  </si>
  <si>
    <t>1.5 Landwirtschaft</t>
  </si>
  <si>
    <t>4. Unterhaltungsaufwand</t>
  </si>
  <si>
    <t>1.6 Handel u. Dienstleist.</t>
  </si>
  <si>
    <t>4.1 Unterhaltung Wohngebäude</t>
  </si>
  <si>
    <t>4.2 Unterhaltung Wirtschaftsgebäude</t>
  </si>
  <si>
    <t>GK</t>
  </si>
  <si>
    <t>Handelsware</t>
  </si>
  <si>
    <t>4.3 Unterhaltung Gewächshäuser</t>
  </si>
  <si>
    <t>Galabau</t>
  </si>
  <si>
    <t>4.4 Unterhaltung Maschinen, GWG</t>
  </si>
  <si>
    <t>Friedhof</t>
  </si>
  <si>
    <t>4.5 Unterhaltung Fuhrpark, sonst.</t>
  </si>
  <si>
    <t>5. Allgemeiner Aufwand</t>
  </si>
  <si>
    <t>5.1 Treib- und Schmierstoffe</t>
  </si>
  <si>
    <t xml:space="preserve"> =BE</t>
  </si>
  <si>
    <t>5.2 Lohnarbeit, Maschinenmiete</t>
  </si>
  <si>
    <t>5.3 Betriebsversicherungen</t>
  </si>
  <si>
    <t>2. Mieteinnahmen</t>
  </si>
  <si>
    <t>5.4 Steuern und Abgaben</t>
  </si>
  <si>
    <t>3. Zinsen, Pachten</t>
  </si>
  <si>
    <t>5.5 Warennebenkosten</t>
  </si>
  <si>
    <t>4. Umsatzsteuer</t>
  </si>
  <si>
    <t>5.6 Absatz und Werbung</t>
  </si>
  <si>
    <t>5. Eigenverbrauch, sonst. Betriebsertrag</t>
  </si>
  <si>
    <t>5.7 sonst. Allg. Aufwand</t>
  </si>
  <si>
    <t>6. Mehr an Vorräten</t>
  </si>
  <si>
    <t>6. Kapitalaufwand</t>
  </si>
  <si>
    <t>7. Sonst. und neutraler Ertrag</t>
  </si>
  <si>
    <t>6.1 Abschreibungen</t>
  </si>
  <si>
    <t>6.2 Pachten und Mieten</t>
  </si>
  <si>
    <t>6.3 Zinsen</t>
  </si>
  <si>
    <t>6.4 sonst. Kapitalkosten</t>
  </si>
  <si>
    <t>7. Vorsteuer</t>
  </si>
  <si>
    <t>8. Weniger an Vorräten</t>
  </si>
  <si>
    <t>9. Sonst. Neutraler Aufwand</t>
  </si>
  <si>
    <t>10. Gewinn</t>
  </si>
  <si>
    <t>8. Verlust</t>
  </si>
  <si>
    <t>Summe Einzelkosten:</t>
  </si>
  <si>
    <t>Betriebsertrag:</t>
  </si>
  <si>
    <t>Summe Gemeinkosten:</t>
  </si>
  <si>
    <t>Cash-Flow:</t>
  </si>
  <si>
    <t>Direktkostenfreie Leistung (Produktion):</t>
  </si>
  <si>
    <t>Direktkostenfreie Leistung (Handel):</t>
  </si>
  <si>
    <t>Lohnkosten, die den Gemeinkosten zugeschlagen werden sollen:</t>
  </si>
  <si>
    <t>bare GK</t>
  </si>
  <si>
    <t>unbare GK</t>
  </si>
  <si>
    <t>davon im Büro: (%)</t>
  </si>
  <si>
    <t>davon im Außendienst: (%)</t>
  </si>
  <si>
    <t>davon in den Kulturen: (%)</t>
  </si>
  <si>
    <t>davon im Endverkauf: (%)</t>
  </si>
  <si>
    <t>davon im Dienstleistungsbereich: (%):</t>
  </si>
  <si>
    <t>Objektgestaltung</t>
  </si>
  <si>
    <t>Den Gemeinkosten zurechnbarer Lohn:</t>
  </si>
  <si>
    <t>laufende AfA aus Gewächshäuser und EK-Maschinen</t>
  </si>
  <si>
    <t>verbleibt AfA GK</t>
  </si>
  <si>
    <t>EK-Verzinsung</t>
  </si>
  <si>
    <t>Lohnansatz:</t>
  </si>
  <si>
    <t>Nichtentlohnte Familienarbeitskräfte</t>
  </si>
  <si>
    <t>Unternehmensertrag</t>
  </si>
  <si>
    <t>Unternehmer(in)</t>
  </si>
  <si>
    <t>Lohnansatz (Summe):</t>
  </si>
  <si>
    <t>Namen:</t>
  </si>
  <si>
    <t>Chef</t>
  </si>
  <si>
    <t>Chefin</t>
  </si>
  <si>
    <t>Alter:</t>
  </si>
  <si>
    <t>rechnerische Anzahl der Arbeitskräfte:</t>
  </si>
  <si>
    <t>Zuschlag:</t>
  </si>
  <si>
    <t>Daten aus WJ17/18</t>
  </si>
  <si>
    <t>Jahresarbeitstage:</t>
  </si>
  <si>
    <t>Jahresarbeitsstunden:</t>
  </si>
  <si>
    <t>zurechenbare Stunden in %</t>
  </si>
  <si>
    <t>zurechenbar:</t>
  </si>
  <si>
    <t>nicht zurechenbar:</t>
  </si>
  <si>
    <t xml:space="preserve"> =Bürostunden:</t>
  </si>
  <si>
    <t xml:space="preserve"> =Außendienststunden:</t>
  </si>
  <si>
    <t xml:space="preserve"> = Kulturzurechenbare Stunden:</t>
  </si>
  <si>
    <t xml:space="preserve"> = Stunden im Endverkauf:</t>
  </si>
  <si>
    <t xml:space="preserve"> = Stunden im Dienstleistungsbereich:</t>
  </si>
  <si>
    <t xml:space="preserve"> Kosten für Bürostunden:</t>
  </si>
  <si>
    <t xml:space="preserve"> Kosten für Außendienststunden:</t>
  </si>
  <si>
    <t xml:space="preserve"> Kulturzurechenbare Kosten:</t>
  </si>
  <si>
    <t xml:space="preserve"> Kosten im Endverkauf:</t>
  </si>
  <si>
    <t xml:space="preserve"> Kosten für Dienstleistungen</t>
  </si>
  <si>
    <t>Kontrolle</t>
  </si>
  <si>
    <t>Lohnkalkulation</t>
  </si>
  <si>
    <t>Entlohnte Arbeitskräfte:</t>
  </si>
  <si>
    <t>Grenzen für geringfügig entlohnte Beschäftigungen:</t>
  </si>
  <si>
    <t>Lohn:</t>
  </si>
  <si>
    <t>Lohnsteuerpauschale:</t>
  </si>
  <si>
    <t>Summen:</t>
  </si>
  <si>
    <t>Hanna</t>
  </si>
  <si>
    <t>Fritz</t>
  </si>
  <si>
    <t>Fridolin</t>
  </si>
  <si>
    <t>Marcel</t>
  </si>
  <si>
    <t>Julia</t>
  </si>
  <si>
    <t>Marga</t>
  </si>
  <si>
    <t>Andrada</t>
  </si>
  <si>
    <t>Licas</t>
  </si>
  <si>
    <t>Tarifgruppe:</t>
  </si>
  <si>
    <t>Gärtnerin</t>
  </si>
  <si>
    <t>Gärtner</t>
  </si>
  <si>
    <t>ungelernt</t>
  </si>
  <si>
    <t>Azubi 1. LJ</t>
  </si>
  <si>
    <t>Azubi 2. LJ</t>
  </si>
  <si>
    <t>Minijobber</t>
  </si>
  <si>
    <t>SaisonAK</t>
  </si>
  <si>
    <t>Ermittelte Anzahl der AK:</t>
  </si>
  <si>
    <t>ständige AK:</t>
  </si>
  <si>
    <t>Tariflohn:</t>
  </si>
  <si>
    <t>Monatslohn:</t>
  </si>
  <si>
    <t>Arbeitstage pro Woche</t>
  </si>
  <si>
    <t>Beschäftigungsdauer in Monaten:</t>
  </si>
  <si>
    <t>Zulagen:</t>
  </si>
  <si>
    <t>Überstundenzuschlag</t>
  </si>
  <si>
    <t>Übstzuschlag. Nacht</t>
  </si>
  <si>
    <t>Übstzuschl. Sonntag</t>
  </si>
  <si>
    <t>Übstzuschl. Feiertag</t>
  </si>
  <si>
    <t>Urlaubsgeld:</t>
  </si>
  <si>
    <t>Urlaubsgeld in €:</t>
  </si>
  <si>
    <t>Sonderzuwendungen:</t>
  </si>
  <si>
    <t>Verm.wirks. Leistung.</t>
  </si>
  <si>
    <t>Beitragssätze der Sozialversicherungen</t>
  </si>
  <si>
    <t>Rentenversicherung:</t>
  </si>
  <si>
    <t>Krankenversicherung</t>
  </si>
  <si>
    <t>Arbeitslosenversich.:</t>
  </si>
  <si>
    <t>Pflegeversicherung:</t>
  </si>
  <si>
    <t>U1 (Lohnfortzahlung)</t>
  </si>
  <si>
    <t>U2 (Mutterschutz)</t>
  </si>
  <si>
    <t>AG-Anteil zur Soz.vers.:</t>
  </si>
  <si>
    <t>Sonstiges</t>
  </si>
  <si>
    <t>Aufwendungen, die für die gesamte Belegschaft, aber nicht speziell für einzelne AK gezahlt werden</t>
  </si>
  <si>
    <t>Berufsgenossenschaft:</t>
  </si>
  <si>
    <t>Sonstige:</t>
  </si>
  <si>
    <t>Jahresarbeitskosten:</t>
  </si>
  <si>
    <t>kalk. Stundenlohn je bezahlte Std.</t>
  </si>
  <si>
    <t>kalk. Stundenlohn je zurechenb. Std.</t>
  </si>
  <si>
    <t>durchschn. monatl. Kosten:</t>
  </si>
  <si>
    <t>Arbeitszeiten:</t>
  </si>
  <si>
    <t>tarifliche Wochenarbeitszeit:</t>
  </si>
  <si>
    <t>Wochenarbeitszeit (h):</t>
  </si>
  <si>
    <t>Monatsarbeitszeit:</t>
  </si>
  <si>
    <t>regulär bezahlte Std.</t>
  </si>
  <si>
    <t>Überstunden:</t>
  </si>
  <si>
    <t>für Mehrarbeit:</t>
  </si>
  <si>
    <t>für Nachtarbeit:</t>
  </si>
  <si>
    <t>an Sonntagen:</t>
  </si>
  <si>
    <t>an Feiertagen:</t>
  </si>
  <si>
    <t>Summe Überstunden:</t>
  </si>
  <si>
    <t>vom Betrieb bezahlte Stunden (incl. Üb.St)</t>
  </si>
  <si>
    <t>Zahl der Feiertage</t>
  </si>
  <si>
    <t>Urlaubsanspruch in Tagen</t>
  </si>
  <si>
    <t>Urlaubstage:</t>
  </si>
  <si>
    <t>Unbezahlte Urlaubstage:</t>
  </si>
  <si>
    <t>Krankheitstage</t>
  </si>
  <si>
    <t>sonst. Ausfallzeiten</t>
  </si>
  <si>
    <t>im Betrieb geleistete Stunden:</t>
  </si>
  <si>
    <t>Bürostunden:</t>
  </si>
  <si>
    <t>Außendienststunden:</t>
  </si>
  <si>
    <t>Kulturzurechenbare Stunden:</t>
  </si>
  <si>
    <t>Stunden im Endverkauf:</t>
  </si>
  <si>
    <t>Dienstleistungsbereich:</t>
  </si>
  <si>
    <t>Betriebsdurchschnittslohn</t>
  </si>
  <si>
    <t>Lohnaufwand +</t>
  </si>
  <si>
    <t xml:space="preserve"> = Lohnkosten</t>
  </si>
  <si>
    <t>Stunden (Fremd AK)</t>
  </si>
  <si>
    <t>Stunden (Fam. AK)</t>
  </si>
  <si>
    <t>Stunden Summen:</t>
  </si>
  <si>
    <t>Kosten (Fremd AK)</t>
  </si>
  <si>
    <t>Kosten (Fam AK)</t>
  </si>
  <si>
    <t>Kosten Summen:</t>
  </si>
  <si>
    <t>Kosten je Stunde</t>
  </si>
  <si>
    <t>Büro</t>
  </si>
  <si>
    <t>Außendienst</t>
  </si>
  <si>
    <t>Kulturarbeiten</t>
  </si>
  <si>
    <t>Endverkauf</t>
  </si>
  <si>
    <t>nur für Dienstleistungen:</t>
  </si>
  <si>
    <t>Dienstleistungen</t>
  </si>
  <si>
    <t>Angebotspreis unter Berücksichtigung der Gemeinkosten und des geplanten Gewinns</t>
  </si>
  <si>
    <t>Nicht zurechenbar</t>
  </si>
  <si>
    <t>Nicht zurechenbar in % der Stunden:</t>
  </si>
  <si>
    <t>Anteil:</t>
  </si>
  <si>
    <t>Lohnk.mit Aufschlag:</t>
  </si>
  <si>
    <t>Bodenkosten</t>
  </si>
  <si>
    <t>Betriebshof</t>
  </si>
  <si>
    <t>Anschaffungspreis</t>
  </si>
  <si>
    <t>Pachte</t>
  </si>
  <si>
    <t>Grundsteuer</t>
  </si>
  <si>
    <t>Gesamtfläche in m²</t>
  </si>
  <si>
    <t>Wegeanteil</t>
  </si>
  <si>
    <t>Bilanz-Mischzins</t>
  </si>
  <si>
    <t>Netto-m²</t>
  </si>
  <si>
    <t>Fixkosten im Jahr:</t>
  </si>
  <si>
    <t>Zinskosten:</t>
  </si>
  <si>
    <t>Gesamtkosten im Jahr:</t>
  </si>
  <si>
    <t>Kosten je Netto-m²:</t>
  </si>
  <si>
    <t>Kosten je Wom²:</t>
  </si>
  <si>
    <t>Kosten je Tm²:</t>
  </si>
  <si>
    <t>Nutzung in Wochen</t>
  </si>
  <si>
    <t>Nutzung in Tagen</t>
  </si>
  <si>
    <t>Kulturzeitbereinigte Kosten je Wom²</t>
  </si>
  <si>
    <t>Kulturzeitbereinigte Kosten je Tm²</t>
  </si>
  <si>
    <t>ungenutzte Hoffläche</t>
  </si>
  <si>
    <t>Kosten für ungenutzte Flächen</t>
  </si>
  <si>
    <t>Kostenumlage auf genutzte Flächen</t>
  </si>
  <si>
    <t>Kosten incl. Gemeinkosten je Nettom²</t>
  </si>
  <si>
    <r>
      <t>Gebäudekosten</t>
    </r>
    <r>
      <rPr>
        <sz val="16"/>
        <color rgb="FFFF0000"/>
        <rFont val="Arial"/>
        <family val="2"/>
      </rPr>
      <t xml:space="preserve"> (Gemeinkostenbereich)</t>
    </r>
  </si>
  <si>
    <t>Arbeitshalle</t>
  </si>
  <si>
    <t>Baujahr</t>
  </si>
  <si>
    <t>Restwert</t>
  </si>
  <si>
    <t>aktuelles Jahr:</t>
  </si>
  <si>
    <t>AfA</t>
  </si>
  <si>
    <t>Buchwert:</t>
  </si>
  <si>
    <t>Nutzungsdauer ( Zeit)</t>
  </si>
  <si>
    <t>Versicherung:</t>
  </si>
  <si>
    <t>Wartung und Reparaturen in % von A:</t>
  </si>
  <si>
    <t>Abschreibung</t>
  </si>
  <si>
    <t>Abschreibung:</t>
  </si>
  <si>
    <t>Reparaturen und Wartung:</t>
  </si>
  <si>
    <t>genutzte Hoffläche in m²</t>
  </si>
  <si>
    <t>Planung der Investitionskosten von Gewächshausanlagen</t>
  </si>
  <si>
    <t>Investition</t>
  </si>
  <si>
    <t>Venloblock</t>
  </si>
  <si>
    <t>Folienhaus</t>
  </si>
  <si>
    <t>Breitkappenhaus</t>
  </si>
  <si>
    <t>Beschreibung</t>
  </si>
  <si>
    <t>Nutzungsdauer</t>
  </si>
  <si>
    <t>Größe</t>
  </si>
  <si>
    <t>Kosten je m²</t>
  </si>
  <si>
    <t>Konstruktion</t>
  </si>
  <si>
    <t>Schirm</t>
  </si>
  <si>
    <t>Tische</t>
  </si>
  <si>
    <t>Bewässerung</t>
  </si>
  <si>
    <t>Düngung</t>
  </si>
  <si>
    <t>Assilicht</t>
  </si>
  <si>
    <t>Klimareglung</t>
  </si>
  <si>
    <t>Wärmebedarf W/m²</t>
  </si>
  <si>
    <t>Gesamtwärmebedarf</t>
  </si>
  <si>
    <t>Inv. Heizung €/kW</t>
  </si>
  <si>
    <t>Inv. Kosten Heizung</t>
  </si>
  <si>
    <t>Wärmeverteilung €/kW</t>
  </si>
  <si>
    <t>Kosten Wärmevert:</t>
  </si>
  <si>
    <t>Gesamtkosten:</t>
  </si>
  <si>
    <r>
      <t xml:space="preserve">Gebäudekosten </t>
    </r>
    <r>
      <rPr>
        <sz val="16"/>
        <color rgb="FFFF0000"/>
        <rFont val="Arial"/>
        <family val="2"/>
      </rPr>
      <t>(Gewächshäuser)</t>
    </r>
  </si>
  <si>
    <r>
      <t xml:space="preserve">Gebäudekosten </t>
    </r>
    <r>
      <rPr>
        <sz val="16"/>
        <color rgb="FFFF0000"/>
        <rFont val="Arial"/>
        <family val="2"/>
      </rPr>
      <t>(Niederglas)</t>
    </r>
  </si>
  <si>
    <t>Venlo-Block</t>
  </si>
  <si>
    <t>Containerfläche</t>
  </si>
  <si>
    <t>Mischzins</t>
  </si>
  <si>
    <t>Maschinenkalkulation</t>
  </si>
  <si>
    <t>Topfmaschine</t>
  </si>
  <si>
    <t>Kleinschlepper</t>
  </si>
  <si>
    <t>Nutzungsdauer (Leistung) (h, km)</t>
  </si>
  <si>
    <t>jährliche Auslastung (h/a od.  100 km/a):</t>
  </si>
  <si>
    <t>Unterbringung in m² Standfläche:</t>
  </si>
  <si>
    <t>Unterbringung:</t>
  </si>
  <si>
    <t>Diesel/Stro (l/h bzw. l/100km bzw. kWh):</t>
  </si>
  <si>
    <t>Preis je Liter bzw. je kWh:</t>
  </si>
  <si>
    <t>Wartung und Reparaturen (€/100h bzw €/10000km) in % von A:</t>
  </si>
  <si>
    <t>Reifenverschleiß (€/100h bzw 10000 km):</t>
  </si>
  <si>
    <t>Abschreibungsschwelle (h/a)</t>
  </si>
  <si>
    <t>Abschreibung fix</t>
  </si>
  <si>
    <t>Abschreibung variabel</t>
  </si>
  <si>
    <t>Fixkosten</t>
  </si>
  <si>
    <t>Variable Kosten im Jahr:</t>
  </si>
  <si>
    <t>variable Abschreibung:</t>
  </si>
  <si>
    <t>Kraftstoff:</t>
  </si>
  <si>
    <t>Reifen:</t>
  </si>
  <si>
    <t>variable Kosten:</t>
  </si>
  <si>
    <t>Kosten je h:</t>
  </si>
  <si>
    <t>LKW</t>
  </si>
  <si>
    <t>Sprinter</t>
  </si>
  <si>
    <t>PKW-Hänger</t>
  </si>
  <si>
    <t>Nutzungsdauer (Leistung) (h, 100 km)</t>
  </si>
  <si>
    <t>jährliche Auslastung (h/a od. 100 km/a):</t>
  </si>
  <si>
    <t>Kosten je h, bzw. 100 km:</t>
  </si>
  <si>
    <t>Materialliste</t>
  </si>
  <si>
    <t>Beobachtete Arbeitsleistungen</t>
  </si>
  <si>
    <t>Artikel</t>
  </si>
  <si>
    <t>Verpackungseinheit oder Preiseinheit</t>
  </si>
  <si>
    <t>Preis</t>
  </si>
  <si>
    <t>Preis/Stck</t>
  </si>
  <si>
    <t>Art der Arbeit</t>
  </si>
  <si>
    <t>Lohnbasis</t>
  </si>
  <si>
    <t>Leistung (Stck/Akh)</t>
  </si>
  <si>
    <t>Kosten/Stck</t>
  </si>
  <si>
    <t>Bambus-Split (30cm)</t>
  </si>
  <si>
    <t>Topfen 10er von Hand</t>
  </si>
  <si>
    <t>Clipringe (20mm)</t>
  </si>
  <si>
    <t>Rücken</t>
  </si>
  <si>
    <t>Jungpflanze</t>
  </si>
  <si>
    <t>Aussaat incl. Nebenarbeiten</t>
  </si>
  <si>
    <t>Rundtopf 10 cm</t>
  </si>
  <si>
    <t>Rücken/Stäben</t>
  </si>
  <si>
    <t>Substrat</t>
  </si>
  <si>
    <t>Verpacken</t>
  </si>
  <si>
    <t>Transport-Steige (15er)</t>
  </si>
  <si>
    <t>Pikieren, incl Nebenarbeiten</t>
  </si>
  <si>
    <t>Saatgut</t>
  </si>
  <si>
    <t>Maschinen topfen C3 incl ausstellen</t>
  </si>
  <si>
    <t>Rundtopf 12 cm</t>
  </si>
  <si>
    <t>Spritzen</t>
  </si>
  <si>
    <t>Pelargonien. Jupfl  Steckl</t>
  </si>
  <si>
    <t xml:space="preserve"> 1 Lage Pflanzen in CC packen</t>
  </si>
  <si>
    <t>Palettino bei ca 10 x benutzen</t>
  </si>
  <si>
    <t>Gardenmums Stutzen</t>
  </si>
  <si>
    <t>Stauchen (Schätzwert)</t>
  </si>
  <si>
    <t>Gardenmums auf CC transportieren</t>
  </si>
  <si>
    <t>Fuchsien</t>
  </si>
  <si>
    <t>Stammlösg erstellen u. anschl.</t>
  </si>
  <si>
    <t>Jungpflanze Neuguinea</t>
  </si>
  <si>
    <t>Eintüten und auf CC stellen</t>
  </si>
  <si>
    <t>Container VCG 19, 3,0 Liter</t>
  </si>
  <si>
    <t>beduckte Folie Gardenmums</t>
  </si>
  <si>
    <t>Jungpflanze Chrys. X hort</t>
  </si>
  <si>
    <t>Kalkulation der Heizkosten für bestimmte Kulturen</t>
  </si>
  <si>
    <t>Kultur:</t>
  </si>
  <si>
    <t>Gardenmums</t>
  </si>
  <si>
    <t>Größe des Hauses</t>
  </si>
  <si>
    <t>Standort</t>
  </si>
  <si>
    <t>Hannover</t>
  </si>
  <si>
    <t>Energiesparmaßnahmen</t>
  </si>
  <si>
    <t>einlag.Energieschirm</t>
  </si>
  <si>
    <t>Brennstoff:</t>
  </si>
  <si>
    <t>Heizöl EL</t>
  </si>
  <si>
    <t>Brennstoffpreis (€/Einheit):</t>
  </si>
  <si>
    <t>Kulturabschnitt 1</t>
  </si>
  <si>
    <t>Kulturabschnitt 2</t>
  </si>
  <si>
    <t>Kulturabschnitt 3</t>
  </si>
  <si>
    <t>Kulturabschnitt 4</t>
  </si>
  <si>
    <t>Vorkultur</t>
  </si>
  <si>
    <t>Kulturbeginn</t>
  </si>
  <si>
    <t>Kulturende</t>
  </si>
  <si>
    <t>Kulturfläche</t>
  </si>
  <si>
    <t>Stückzahl</t>
  </si>
  <si>
    <t>Temperatur (Tag)</t>
  </si>
  <si>
    <t>Temperatur (Nacht)</t>
  </si>
  <si>
    <t>kWh/m²</t>
  </si>
  <si>
    <t>Energieverbrauch (Tag)</t>
  </si>
  <si>
    <t>Korrekturfaktor (Tag)</t>
  </si>
  <si>
    <t>korrigierter Energieverbrauch</t>
  </si>
  <si>
    <t>Energieverbrauch (Nacht)</t>
  </si>
  <si>
    <t>Korrekturfaktor (Nacht)</t>
  </si>
  <si>
    <t>je Stück</t>
  </si>
  <si>
    <t>Energieverbrauch:</t>
  </si>
  <si>
    <t>kWh</t>
  </si>
  <si>
    <t>Brennstoffverbrauch:</t>
  </si>
  <si>
    <t>Brennstoffkosten:</t>
  </si>
  <si>
    <t>Energieverbrauch in kWh je m² und Woche</t>
  </si>
  <si>
    <t>Heiztemperatur am Tage</t>
  </si>
  <si>
    <t>Wo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</si>
  <si>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</si>
  <si>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</si>
  <si>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</si>
  <si>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</si>
  <si>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</si>
  <si>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</si>
  <si>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</si>
  <si>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</si>
  <si>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</si>
  <si>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</si>
  <si>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</si>
  <si>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</si>
  <si>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Heiztemperatur °C in der Nacht</t>
  </si>
  <si>
    <t>Korrekturfaktoren</t>
  </si>
  <si>
    <t>unter 10 Grad</t>
  </si>
  <si>
    <t>10 bis 20 Grad</t>
  </si>
  <si>
    <t>über 20 Grad</t>
  </si>
  <si>
    <t>Tag</t>
  </si>
  <si>
    <t>Nacht</t>
  </si>
  <si>
    <t>Berlin</t>
  </si>
  <si>
    <t>Düsseldorf</t>
  </si>
  <si>
    <t>Erfurt</t>
  </si>
  <si>
    <t>Frankfurt</t>
  </si>
  <si>
    <t>München</t>
  </si>
  <si>
    <t>Oldenburg</t>
  </si>
  <si>
    <t>Schwerin</t>
  </si>
  <si>
    <t>Stuttgart</t>
  </si>
  <si>
    <t>keine</t>
  </si>
  <si>
    <t>mehrlag.Energieschirm</t>
  </si>
  <si>
    <t>einlg.Schirm (mäßig dicht)</t>
  </si>
  <si>
    <t>mehrlg.Schirm (mäßig dicht)</t>
  </si>
  <si>
    <t>Isolierglas</t>
  </si>
  <si>
    <t>Grundflächen</t>
  </si>
  <si>
    <t>Korrekturfaktor:</t>
  </si>
  <si>
    <t>Umrechnung unterschiedlicher Brennstoffe</t>
  </si>
  <si>
    <t>Faktor</t>
  </si>
  <si>
    <t>Einheit</t>
  </si>
  <si>
    <t>Liter</t>
  </si>
  <si>
    <t>Heizöl S</t>
  </si>
  <si>
    <t>kg</t>
  </si>
  <si>
    <t>Erdgas L</t>
  </si>
  <si>
    <t>m³</t>
  </si>
  <si>
    <t>Erdgas H</t>
  </si>
  <si>
    <t>Propan</t>
  </si>
  <si>
    <t>Flüssiggas</t>
  </si>
  <si>
    <t>Anthrazit</t>
  </si>
  <si>
    <t>Steinkohle</t>
  </si>
  <si>
    <t>Koks</t>
  </si>
  <si>
    <t>Braunkohle Briketts</t>
  </si>
  <si>
    <t>Holz</t>
  </si>
  <si>
    <t>Rohbraunkohle</t>
  </si>
  <si>
    <t>Kalkulation einer Kultur</t>
  </si>
  <si>
    <t>Gardenmoms</t>
  </si>
  <si>
    <t>Wochenplaner:</t>
  </si>
  <si>
    <t>Stück/m²</t>
  </si>
  <si>
    <t>Nm²</t>
  </si>
  <si>
    <t>Arbeiten</t>
  </si>
  <si>
    <t>Produktionsumfang:</t>
  </si>
  <si>
    <t>Stück</t>
  </si>
  <si>
    <t>1. Einzelkosten</t>
  </si>
  <si>
    <t>1.1: Material</t>
  </si>
  <si>
    <t>Menge/Stck</t>
  </si>
  <si>
    <t>Bedarf</t>
  </si>
  <si>
    <t>Kosten</t>
  </si>
  <si>
    <t>Kosten je Einheit</t>
  </si>
  <si>
    <t>Heizkosten aus Tabelle Heiz!:</t>
  </si>
  <si>
    <t>Wasser/Strom/Düngung/Pflanzenschutz</t>
  </si>
  <si>
    <t>Pauschal für Wasser/Strom/Düngung/Pflanzenschutz:</t>
  </si>
  <si>
    <t>Summe der Direktkosten</t>
  </si>
  <si>
    <t>1.2: Sonstige Variable Spezialkosten:</t>
  </si>
  <si>
    <t>a) Maschinenmieten</t>
  </si>
  <si>
    <t>b) kurzfristige Zupachtung:</t>
  </si>
  <si>
    <t>c) Saison-AK</t>
  </si>
  <si>
    <t>Leistung</t>
  </si>
  <si>
    <t>Summe der sonstigen variablen Spezialkosten</t>
  </si>
  <si>
    <t>Summe der Spezialkosten</t>
  </si>
  <si>
    <t>2: Arbeitskosten</t>
  </si>
  <si>
    <t>Akh</t>
  </si>
  <si>
    <t>Summe fixe Arbeitskosten:</t>
  </si>
  <si>
    <t>3: Gewächshausfläche</t>
  </si>
  <si>
    <t>Wom²</t>
  </si>
  <si>
    <t>Kosten/Wom²</t>
  </si>
  <si>
    <t>GH-Kosten</t>
  </si>
  <si>
    <t>Deckungsbeitragsrechnung</t>
  </si>
  <si>
    <t>Markterlös je Stück:</t>
  </si>
  <si>
    <t>abgesetzte Menge:</t>
  </si>
  <si>
    <t>je Akh</t>
  </si>
  <si>
    <t>je Wom²</t>
  </si>
  <si>
    <t>je Stck (prod.)</t>
  </si>
  <si>
    <t>Markterlös:</t>
  </si>
  <si>
    <t>./. Direktkosten:</t>
  </si>
  <si>
    <t>Summe Gewächshauskosten:</t>
  </si>
  <si>
    <t xml:space="preserve"> =direktkostenfreie Leistung:</t>
  </si>
  <si>
    <t>4: Maschinenkosten</t>
  </si>
  <si>
    <t>./. var. Spezialkosten:</t>
  </si>
  <si>
    <t>Maschine</t>
  </si>
  <si>
    <t>Stunden</t>
  </si>
  <si>
    <t>Kosten je h</t>
  </si>
  <si>
    <t xml:space="preserve"> = Deckungsbeitrag:</t>
  </si>
  <si>
    <t>./.zurechenbare sonst. Einzelkosten:</t>
  </si>
  <si>
    <t xml:space="preserve"> = Einzelkostenfreie Leistung:</t>
  </si>
  <si>
    <t>Summe variable Maschinenkosten:</t>
  </si>
  <si>
    <t>Summe der Einzelkosten:</t>
  </si>
  <si>
    <t>Preisuntergrenzen</t>
  </si>
  <si>
    <t>Ausfall,nicht verkaufte Ware:</t>
  </si>
  <si>
    <t>EK je verkaufte Pflanze:</t>
  </si>
  <si>
    <t>verkauft werden voraussichtlich:</t>
  </si>
  <si>
    <r>
      <rPr>
        <b/>
        <sz val="11"/>
        <color theme="1"/>
        <rFont val="Arial"/>
        <family val="2"/>
      </rPr>
      <t>Sonderpreis</t>
    </r>
    <r>
      <rPr>
        <b/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(deckt die Einzelkosten)</t>
    </r>
  </si>
  <si>
    <t>Gemeinkostenaufschlag:</t>
  </si>
  <si>
    <t>Einzelkosten</t>
  </si>
  <si>
    <t>Gemeinkosten:</t>
  </si>
  <si>
    <r>
      <rPr>
        <b/>
        <sz val="11"/>
        <color theme="1"/>
        <rFont val="Arial"/>
        <family val="2"/>
      </rPr>
      <t>kurzfristige Preisuntergrenze</t>
    </r>
    <r>
      <rPr>
        <b/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(deckt EK und bare GK)</t>
    </r>
  </si>
  <si>
    <r>
      <t xml:space="preserve">kostendeckende Preiuntergrenze </t>
    </r>
    <r>
      <rPr>
        <sz val="11"/>
        <color theme="1"/>
        <rFont val="Arial"/>
        <family val="2"/>
      </rPr>
      <t>(deckt alle betrieblichen Kosten)</t>
    </r>
  </si>
  <si>
    <t>Gewinn</t>
  </si>
  <si>
    <t>Voller Preis</t>
  </si>
  <si>
    <r>
      <t xml:space="preserve">Voller Preis </t>
    </r>
    <r>
      <rPr>
        <sz val="11"/>
        <color theme="1"/>
        <rFont val="Arial"/>
        <family val="2"/>
      </rPr>
      <t>(auf die Kosten kommt der kalkulierte Gewinnaufschlag)</t>
    </r>
  </si>
  <si>
    <t>bare GK:</t>
  </si>
  <si>
    <t>unbare GK: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</si>
</sst>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4" formatCode="_-* #,##0.00\ &quot;€&quot;_-;\-* #,##0.00\ &quot;€&quot;_-;_-* &quot;-&quot;??\ &quot;€&quot;_-;_-@_-"/>
    <numFmt numFmtId="164" formatCode="&quot; &quot;#,##0.00&quot; &quot;[$€]&quot; &quot;;&quot;-&quot;#,##0.00&quot; &quot;[$€]&quot; &quot;;&quot; -&quot;#&quot; &quot;[$€]&quot; &quot;;&quot; &quot;@&quot; &quot;"/>
    <numFmt numFmtId="165" formatCode="[$-407]0.00"/>
    <numFmt numFmtId="166" formatCode="[$-407]0.00%"/>
    <numFmt numFmtId="167" formatCode="&quot; &quot;#,##0.00&quot; &quot;[$€-C0A]&quot; &quot;;&quot;-&quot;#,##0.00&quot; &quot;[$€-C0A]&quot; &quot;;&quot; -&quot;#&quot; &quot;[$€-C0A]&quot; &quot;;&quot; &quot;@&quot; &quot;"/>
    <numFmt numFmtId="168" formatCode="0.0%"/>
    <numFmt numFmtId="169" formatCode="#,##0.00&quot; &quot;[$€-C0A];&quot;-&quot;#,##0.00&quot; &quot;[$€-C0A]"/>
    <numFmt numFmtId="170" formatCode="&quot; &quot;#,##0.00&quot; &quot;[$€-407]&quot; &quot;;&quot;-&quot;#,##0.00&quot; &quot;[$€-407]&quot; &quot;;&quot; -&quot;#&quot; &quot;[$€-407]&quot; &quot;;&quot; &quot;@&quot; &quot;"/>
    <numFmt numFmtId="171" formatCode="0&quot; Jahre&quot;"/>
    <numFmt numFmtId="172" formatCode="0.00&quot; AK&quot;"/>
    <numFmt numFmtId="173" formatCode="0&quot; d&quot;"/>
    <numFmt numFmtId="174" formatCode="0&quot; h&quot;"/>
    <numFmt numFmtId="175" formatCode="#.##&quot; €&quot;;&quot;-&quot;#.##&quot; €&quot;"/>
    <numFmt numFmtId="176" formatCode="0&quot; d/w&quot;"/>
    <numFmt numFmtId="177" formatCode="0&quot; M&quot;"/>
    <numFmt numFmtId="178" formatCode="#.####&quot; €&quot;;&quot;-&quot;#.####&quot; €&quot;"/>
    <numFmt numFmtId="179" formatCode="0&quot; h/w&quot;"/>
    <numFmt numFmtId="180" formatCode="0&quot; h/M&quot;"/>
    <numFmt numFmtId="181" formatCode="0&quot; h/a&quot;"/>
    <numFmt numFmtId="182" formatCode="#,##0.00&quot; &quot;[$€-407];[Red]&quot;-&quot;#,##0.00&quot; &quot;[$€-407]"/>
    <numFmt numFmtId="183" formatCode="#,##0.00&quot; &quot;[$€]"/>
    <numFmt numFmtId="184" formatCode="0&quot; m²&quot;"/>
    <numFmt numFmtId="185" formatCode="0&quot; w&quot;"/>
    <numFmt numFmtId="186" formatCode="0&quot; &quot;;&quot;-&quot;0&quot; &quot;"/>
    <numFmt numFmtId="187" formatCode="yyyy"/>
    <numFmt numFmtId="188" formatCode="[$-407]0"/>
    <numFmt numFmtId="189" formatCode="#,##0&quot;  kW&quot;"/>
    <numFmt numFmtId="190" formatCode="[$-407]#,##0.00"/>
    <numFmt numFmtId="191" formatCode="#,##0.00&quot; €&quot;;[Red]&quot;-&quot;#,##0.00&quot; €&quot;"/>
    <numFmt numFmtId="192" formatCode="[$-407]0%"/>
    <numFmt numFmtId="193" formatCode="[$-407]#,##0"/>
    <numFmt numFmtId="194" formatCode="#,##0.0&quot; &quot;[$€];&quot;-&quot;#,##0.0&quot; &quot;[$€]"/>
    <numFmt numFmtId="195" formatCode="[$-407]General"/>
    <numFmt numFmtId="196" formatCode="#,##0.00&quot; €&quot;"/>
    <numFmt numFmtId="197" formatCode="&quot;Wo &quot;0"/>
    <numFmt numFmtId="198" formatCode="0&quot; °C&quot;"/>
    <numFmt numFmtId="199" formatCode="#,##0&quot; €&quot;"/>
    <numFmt numFmtId="200" formatCode="0.0"/>
    <numFmt numFmtId="201" formatCode="[$-407]dd&quot;. &quot;mmm"/>
    <numFmt numFmtId="202" formatCode="_-* #,##0.00\ [$€-407]_-;\-* #,##0.00\ [$€-407]_-;_-* &quot;-&quot;??\ [$€-407]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0"/>
      <color rgb="FFFFFFFF"/>
      <name val="Arial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82" fontId="5" fillId="0" borderId="0"/>
  </cellStyleXfs>
  <cellXfs count="390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8" fillId="0" borderId="0" xfId="0" applyFont="1"/>
    <xf numFmtId="0" fontId="3" fillId="4" borderId="0" xfId="0" applyFont="1" applyFill="1" applyProtection="1">
      <protection locked="0"/>
    </xf>
    <xf numFmtId="0" fontId="9" fillId="0" borderId="2" xfId="0" applyFont="1" applyBorder="1"/>
    <xf numFmtId="0" fontId="0" fillId="0" borderId="0" xfId="0" applyFill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7" xfId="0" applyFont="1" applyBorder="1"/>
    <xf numFmtId="0" fontId="3" fillId="0" borderId="8" xfId="0" applyFont="1" applyBorder="1"/>
    <xf numFmtId="188" fontId="0" fillId="3" borderId="7" xfId="0" applyNumberFormat="1" applyFill="1" applyBorder="1"/>
    <xf numFmtId="0" fontId="0" fillId="3" borderId="0" xfId="0" applyFill="1" applyBorder="1"/>
    <xf numFmtId="184" fontId="0" fillId="0" borderId="0" xfId="0" applyNumberFormat="1"/>
    <xf numFmtId="0" fontId="0" fillId="4" borderId="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188" fontId="0" fillId="0" borderId="0" xfId="0" applyNumberFormat="1" applyBorder="1"/>
    <xf numFmtId="188" fontId="0" fillId="0" borderId="7" xfId="0" applyNumberFormat="1" applyBorder="1"/>
    <xf numFmtId="0" fontId="0" fillId="0" borderId="8" xfId="0" applyBorder="1"/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188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3" fillId="0" borderId="7" xfId="0" applyFont="1" applyBorder="1" applyAlignment="1"/>
    <xf numFmtId="0" fontId="3" fillId="0" borderId="2" xfId="0" applyFont="1" applyBorder="1"/>
    <xf numFmtId="0" fontId="0" fillId="0" borderId="11" xfId="0" applyBorder="1"/>
    <xf numFmtId="0" fontId="3" fillId="0" borderId="12" xfId="0" applyFont="1" applyBorder="1"/>
    <xf numFmtId="0" fontId="0" fillId="4" borderId="12" xfId="0" applyFill="1" applyBorder="1" applyProtection="1">
      <protection locked="0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8" xfId="0" applyBorder="1" applyAlignment="1"/>
    <xf numFmtId="172" fontId="0" fillId="0" borderId="0" xfId="0" applyNumberFormat="1" applyBorder="1" applyAlignment="1"/>
    <xf numFmtId="165" fontId="0" fillId="0" borderId="0" xfId="0" applyNumberFormat="1" applyBorder="1"/>
    <xf numFmtId="0" fontId="3" fillId="0" borderId="7" xfId="0" applyFont="1" applyFill="1" applyBorder="1"/>
    <xf numFmtId="0" fontId="3" fillId="0" borderId="0" xfId="6" applyFont="1" applyFill="1" applyBorder="1" applyAlignment="1" applyProtection="1"/>
    <xf numFmtId="0" fontId="3" fillId="0" borderId="12" xfId="0" applyFont="1" applyFill="1" applyBorder="1"/>
    <xf numFmtId="165" fontId="0" fillId="0" borderId="9" xfId="0" applyNumberFormat="1" applyBorder="1"/>
    <xf numFmtId="0" fontId="3" fillId="0" borderId="9" xfId="6" applyFont="1" applyFill="1" applyBorder="1" applyAlignment="1" applyProtection="1"/>
    <xf numFmtId="0" fontId="0" fillId="0" borderId="10" xfId="0" applyBorder="1" applyAlignment="1"/>
    <xf numFmtId="0" fontId="3" fillId="4" borderId="0" xfId="6" applyFont="1" applyFill="1" applyBorder="1" applyAlignment="1" applyProtection="1">
      <protection locked="0"/>
    </xf>
    <xf numFmtId="0" fontId="0" fillId="0" borderId="2" xfId="0" applyBorder="1"/>
    <xf numFmtId="0" fontId="3" fillId="0" borderId="11" xfId="6" applyFont="1" applyFill="1" applyBorder="1" applyAlignment="1" applyProtection="1"/>
    <xf numFmtId="0" fontId="0" fillId="0" borderId="3" xfId="0" applyBorder="1"/>
    <xf numFmtId="0" fontId="9" fillId="0" borderId="3" xfId="0" applyFont="1" applyFill="1" applyBorder="1" applyProtection="1">
      <protection locked="0"/>
    </xf>
    <xf numFmtId="0" fontId="10" fillId="2" borderId="0" xfId="0" applyFont="1" applyFill="1" applyBorder="1" applyAlignment="1">
      <alignment horizontal="center"/>
    </xf>
    <xf numFmtId="0" fontId="3" fillId="0" borderId="7" xfId="0" applyFont="1" applyFill="1" applyBorder="1"/>
    <xf numFmtId="172" fontId="0" fillId="0" borderId="0" xfId="0" applyNumberFormat="1" applyFill="1" applyBorder="1" applyAlignment="1"/>
    <xf numFmtId="0" fontId="3" fillId="0" borderId="0" xfId="6" applyFont="1" applyFill="1" applyBorder="1" applyAlignment="1" applyProtection="1"/>
    <xf numFmtId="0" fontId="3" fillId="0" borderId="9" xfId="6" applyFont="1" applyFill="1" applyBorder="1" applyAlignment="1" applyProtection="1"/>
    <xf numFmtId="0" fontId="3" fillId="0" borderId="13" xfId="0" applyFont="1" applyFill="1" applyBorder="1"/>
    <xf numFmtId="0" fontId="11" fillId="2" borderId="1" xfId="0" applyFont="1" applyFill="1" applyBorder="1" applyAlignment="1">
      <alignment horizontal="center"/>
    </xf>
    <xf numFmtId="164" fontId="3" fillId="0" borderId="5" xfId="3" applyFont="1" applyFill="1" applyBorder="1" applyAlignment="1" applyProtection="1"/>
    <xf numFmtId="164" fontId="3" fillId="0" borderId="6" xfId="3" applyFont="1" applyFill="1" applyBorder="1" applyAlignment="1" applyProtection="1"/>
    <xf numFmtId="164" fontId="3" fillId="0" borderId="0" xfId="3" applyFont="1" applyFill="1" applyBorder="1" applyAlignment="1" applyProtection="1"/>
    <xf numFmtId="0" fontId="0" fillId="0" borderId="7" xfId="0" applyFill="1" applyBorder="1" applyProtection="1"/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8" xfId="0" applyBorder="1" applyProtection="1"/>
    <xf numFmtId="164" fontId="3" fillId="0" borderId="1" xfId="3" applyFont="1" applyFill="1" applyBorder="1" applyAlignment="1" applyProtection="1"/>
    <xf numFmtId="0" fontId="0" fillId="4" borderId="7" xfId="6" applyFont="1" applyFill="1" applyBorder="1" applyAlignment="1" applyProtection="1"/>
    <xf numFmtId="164" fontId="0" fillId="0" borderId="0" xfId="0" applyNumberFormat="1" applyFill="1" applyBorder="1" applyProtection="1"/>
    <xf numFmtId="167" fontId="0" fillId="0" borderId="0" xfId="0" applyNumberFormat="1" applyBorder="1" applyProtection="1"/>
    <xf numFmtId="169" fontId="3" fillId="7" borderId="0" xfId="3" applyNumberFormat="1" applyFont="1" applyFill="1" applyBorder="1" applyAlignment="1" applyProtection="1"/>
    <xf numFmtId="164" fontId="3" fillId="4" borderId="8" xfId="3" applyFont="1" applyFill="1" applyBorder="1" applyAlignment="1" applyProtection="1">
      <protection locked="0"/>
    </xf>
    <xf numFmtId="0" fontId="0" fillId="0" borderId="0" xfId="6" applyFont="1" applyFill="1" applyBorder="1" applyAlignment="1" applyProtection="1">
      <protection locked="0"/>
    </xf>
    <xf numFmtId="164" fontId="0" fillId="0" borderId="0" xfId="0" applyNumberFormat="1" applyBorder="1" applyProtection="1"/>
    <xf numFmtId="201" fontId="3" fillId="0" borderId="7" xfId="0" applyNumberFormat="1" applyFont="1" applyBorder="1"/>
    <xf numFmtId="164" fontId="3" fillId="0" borderId="0" xfId="3" applyFont="1" applyFill="1" applyBorder="1" applyAlignment="1" applyProtection="1">
      <protection locked="0"/>
    </xf>
    <xf numFmtId="0" fontId="3" fillId="0" borderId="7" xfId="0" applyFont="1" applyBorder="1" applyAlignment="1">
      <alignment wrapText="1"/>
    </xf>
    <xf numFmtId="164" fontId="3" fillId="0" borderId="8" xfId="3" applyFont="1" applyFill="1" applyBorder="1" applyAlignment="1" applyProtection="1"/>
    <xf numFmtId="0" fontId="0" fillId="0" borderId="0" xfId="6" applyFont="1" applyFill="1" applyBorder="1" applyAlignment="1" applyProtection="1"/>
    <xf numFmtId="164" fontId="3" fillId="4" borderId="0" xfId="3" applyFont="1" applyFill="1" applyBorder="1" applyAlignment="1" applyProtection="1">
      <protection locked="0"/>
    </xf>
    <xf numFmtId="165" fontId="0" fillId="0" borderId="0" xfId="0" applyNumberFormat="1" applyFill="1" applyBorder="1" applyProtection="1"/>
    <xf numFmtId="165" fontId="0" fillId="0" borderId="0" xfId="0" applyNumberFormat="1" applyBorder="1" applyProtection="1"/>
    <xf numFmtId="165" fontId="3" fillId="0" borderId="8" xfId="0" applyNumberFormat="1" applyFont="1" applyFill="1" applyBorder="1" applyProtection="1"/>
    <xf numFmtId="168" fontId="3" fillId="0" borderId="0" xfId="6" applyNumberFormat="1" applyFont="1" applyFill="1" applyBorder="1" applyAlignment="1" applyProtection="1"/>
    <xf numFmtId="0" fontId="0" fillId="0" borderId="12" xfId="0" applyFill="1" applyBorder="1" applyProtection="1"/>
    <xf numFmtId="0" fontId="0" fillId="0" borderId="9" xfId="0" applyFill="1" applyBorder="1" applyProtection="1"/>
    <xf numFmtId="0" fontId="3" fillId="0" borderId="9" xfId="0" applyFont="1" applyBorder="1" applyProtection="1"/>
    <xf numFmtId="0" fontId="0" fillId="0" borderId="10" xfId="0" applyBorder="1" applyProtection="1"/>
    <xf numFmtId="0" fontId="0" fillId="0" borderId="0" xfId="0" applyFill="1" applyBorder="1" applyProtection="1">
      <protection locked="0"/>
    </xf>
    <xf numFmtId="166" fontId="0" fillId="0" borderId="0" xfId="6" applyNumberFormat="1" applyFont="1" applyFill="1" applyBorder="1" applyAlignment="1" applyProtection="1">
      <protection locked="0"/>
    </xf>
    <xf numFmtId="0" fontId="3" fillId="0" borderId="0" xfId="0" applyFont="1"/>
    <xf numFmtId="166" fontId="0" fillId="0" borderId="0" xfId="6" applyNumberFormat="1" applyFont="1" applyFill="1" applyBorder="1" applyAlignment="1" applyProtection="1"/>
    <xf numFmtId="0" fontId="8" fillId="8" borderId="0" xfId="0" applyFont="1" applyFill="1" applyBorder="1"/>
    <xf numFmtId="0" fontId="8" fillId="8" borderId="0" xfId="0" applyFont="1" applyFill="1" applyBorder="1" applyProtection="1"/>
    <xf numFmtId="166" fontId="8" fillId="8" borderId="0" xfId="6" applyNumberFormat="1" applyFont="1" applyFill="1" applyBorder="1" applyAlignment="1" applyProtection="1"/>
    <xf numFmtId="0" fontId="8" fillId="0" borderId="0" xfId="0" applyFont="1" applyFill="1" applyBorder="1"/>
    <xf numFmtId="164" fontId="3" fillId="0" borderId="9" xfId="3" applyFont="1" applyFill="1" applyBorder="1" applyAlignment="1" applyProtection="1"/>
    <xf numFmtId="0" fontId="0" fillId="0" borderId="12" xfId="0" applyBorder="1"/>
    <xf numFmtId="164" fontId="3" fillId="0" borderId="10" xfId="3" applyFont="1" applyFill="1" applyBorder="1" applyAlignment="1" applyProtection="1"/>
    <xf numFmtId="164" fontId="3" fillId="0" borderId="11" xfId="3" applyFont="1" applyFill="1" applyBorder="1" applyAlignment="1" applyProtection="1"/>
    <xf numFmtId="164" fontId="3" fillId="0" borderId="3" xfId="3" applyFont="1" applyFill="1" applyBorder="1" applyAlignment="1" applyProtection="1"/>
    <xf numFmtId="0" fontId="12" fillId="0" borderId="0" xfId="0" applyFont="1" applyFill="1" applyBorder="1"/>
    <xf numFmtId="0" fontId="3" fillId="0" borderId="0" xfId="0" applyFont="1" applyFill="1" applyBorder="1"/>
    <xf numFmtId="201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0" fillId="0" borderId="7" xfId="0" applyFill="1" applyBorder="1"/>
    <xf numFmtId="164" fontId="3" fillId="9" borderId="0" xfId="3" applyFont="1" applyFill="1" applyBorder="1" applyAlignment="1" applyProtection="1"/>
    <xf numFmtId="164" fontId="3" fillId="0" borderId="0" xfId="3" applyFont="1" applyFill="1" applyBorder="1" applyAlignment="1" applyProtection="1">
      <alignment horizontal="left"/>
    </xf>
    <xf numFmtId="0" fontId="0" fillId="5" borderId="3" xfId="0" applyFill="1" applyBorder="1" applyProtection="1">
      <protection locked="0"/>
    </xf>
    <xf numFmtId="169" fontId="3" fillId="4" borderId="4" xfId="3" applyNumberFormat="1" applyFont="1" applyFill="1" applyBorder="1" applyAlignment="1" applyProtection="1">
      <protection locked="0"/>
    </xf>
    <xf numFmtId="168" fontId="3" fillId="0" borderId="8" xfId="6" applyNumberFormat="1" applyFont="1" applyFill="1" applyBorder="1" applyAlignment="1" applyProtection="1"/>
    <xf numFmtId="168" fontId="3" fillId="9" borderId="0" xfId="6" applyNumberFormat="1" applyFont="1" applyFill="1" applyBorder="1" applyAlignment="1" applyProtection="1"/>
    <xf numFmtId="169" fontId="3" fillId="4" borderId="7" xfId="3" applyNumberFormat="1" applyFont="1" applyFill="1" applyBorder="1" applyAlignment="1" applyProtection="1">
      <protection locked="0"/>
    </xf>
    <xf numFmtId="169" fontId="3" fillId="7" borderId="4" xfId="3" applyNumberFormat="1" applyFont="1" applyFill="1" applyBorder="1" applyAlignment="1" applyProtection="1"/>
    <xf numFmtId="0" fontId="3" fillId="5" borderId="1" xfId="6" applyFont="1" applyFill="1" applyBorder="1" applyAlignment="1" applyProtection="1">
      <protection locked="0"/>
    </xf>
    <xf numFmtId="164" fontId="3" fillId="4" borderId="13" xfId="3" applyFont="1" applyFill="1" applyBorder="1" applyAlignment="1" applyProtection="1">
      <protection locked="0"/>
    </xf>
    <xf numFmtId="0" fontId="3" fillId="5" borderId="13" xfId="6" applyFont="1" applyFill="1" applyBorder="1" applyAlignment="1" applyProtection="1">
      <protection locked="0"/>
    </xf>
    <xf numFmtId="164" fontId="0" fillId="0" borderId="0" xfId="0" applyNumberFormat="1"/>
    <xf numFmtId="164" fontId="3" fillId="4" borderId="14" xfId="3" applyFont="1" applyFill="1" applyBorder="1" applyAlignment="1" applyProtection="1">
      <protection locked="0"/>
    </xf>
    <xf numFmtId="0" fontId="3" fillId="5" borderId="14" xfId="6" applyFont="1" applyFill="1" applyBorder="1" applyAlignment="1" applyProtection="1">
      <protection locked="0"/>
    </xf>
    <xf numFmtId="169" fontId="0" fillId="0" borderId="0" xfId="0" applyNumberFormat="1"/>
    <xf numFmtId="164" fontId="3" fillId="4" borderId="15" xfId="3" applyFont="1" applyFill="1" applyBorder="1" applyAlignment="1" applyProtection="1">
      <protection locked="0"/>
    </xf>
    <xf numFmtId="0" fontId="3" fillId="5" borderId="15" xfId="6" applyFont="1" applyFill="1" applyBorder="1" applyAlignment="1" applyProtection="1">
      <protection locked="0"/>
    </xf>
    <xf numFmtId="169" fontId="3" fillId="4" borderId="12" xfId="3" applyNumberFormat="1" applyFont="1" applyFill="1" applyBorder="1" applyAlignment="1" applyProtection="1">
      <protection locked="0"/>
    </xf>
    <xf numFmtId="0" fontId="3" fillId="0" borderId="8" xfId="6" applyFont="1" applyFill="1" applyBorder="1" applyAlignment="1" applyProtection="1"/>
    <xf numFmtId="164" fontId="3" fillId="4" borderId="0" xfId="3" applyFont="1" applyFill="1" applyBorder="1" applyAlignment="1" applyProtection="1"/>
    <xf numFmtId="164" fontId="3" fillId="4" borderId="1" xfId="3" applyFont="1" applyFill="1" applyBorder="1" applyAlignment="1" applyProtection="1">
      <protection locked="0"/>
    </xf>
    <xf numFmtId="170" fontId="0" fillId="0" borderId="0" xfId="0" applyNumberFormat="1"/>
    <xf numFmtId="169" fontId="3" fillId="7" borderId="4" xfId="3" applyNumberFormat="1" applyFont="1" applyFill="1" applyBorder="1" applyAlignment="1" applyProtection="1">
      <protection locked="0"/>
    </xf>
    <xf numFmtId="164" fontId="0" fillId="0" borderId="9" xfId="0" applyNumberFormat="1" applyBorder="1"/>
    <xf numFmtId="0" fontId="0" fillId="0" borderId="8" xfId="0" applyFill="1" applyBorder="1"/>
    <xf numFmtId="0" fontId="0" fillId="0" borderId="0" xfId="0" applyFill="1"/>
    <xf numFmtId="167" fontId="0" fillId="0" borderId="0" xfId="0" applyNumberFormat="1"/>
    <xf numFmtId="168" fontId="0" fillId="0" borderId="0" xfId="0" applyNumberFormat="1"/>
    <xf numFmtId="0" fontId="7" fillId="2" borderId="13" xfId="0" applyFont="1" applyFill="1" applyBorder="1" applyAlignment="1">
      <alignment horizontal="center"/>
    </xf>
    <xf numFmtId="0" fontId="15" fillId="2" borderId="0" xfId="0" applyFont="1" applyFill="1"/>
    <xf numFmtId="0" fontId="8" fillId="2" borderId="0" xfId="0" applyFont="1" applyFill="1"/>
    <xf numFmtId="0" fontId="16" fillId="2" borderId="0" xfId="0" applyFont="1" applyFill="1"/>
    <xf numFmtId="0" fontId="17" fillId="2" borderId="0" xfId="0" applyFont="1" applyFill="1"/>
    <xf numFmtId="164" fontId="8" fillId="3" borderId="0" xfId="3" applyFont="1" applyFill="1" applyBorder="1" applyAlignment="1" applyProtection="1"/>
    <xf numFmtId="0" fontId="3" fillId="0" borderId="0" xfId="0" applyFont="1" applyAlignment="1">
      <alignment horizontal="left"/>
    </xf>
    <xf numFmtId="0" fontId="3" fillId="10" borderId="0" xfId="0" applyFont="1" applyFill="1"/>
    <xf numFmtId="0" fontId="3" fillId="5" borderId="0" xfId="0" applyFont="1" applyFill="1" applyProtection="1">
      <protection locked="0"/>
    </xf>
    <xf numFmtId="171" fontId="0" fillId="4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172" fontId="0" fillId="0" borderId="0" xfId="0" applyNumberFormat="1" applyFill="1" applyProtection="1"/>
    <xf numFmtId="172" fontId="8" fillId="6" borderId="1" xfId="0" applyNumberFormat="1" applyFont="1" applyFill="1" applyBorder="1" applyProtection="1"/>
    <xf numFmtId="0" fontId="8" fillId="0" borderId="0" xfId="0" applyFont="1" applyFill="1" applyBorder="1" applyProtection="1"/>
    <xf numFmtId="175" fontId="0" fillId="0" borderId="0" xfId="0" applyNumberFormat="1"/>
    <xf numFmtId="164" fontId="3" fillId="3" borderId="0" xfId="3" applyFont="1" applyFill="1" applyBorder="1" applyAlignment="1" applyProtection="1"/>
    <xf numFmtId="164" fontId="8" fillId="6" borderId="1" xfId="3" applyFont="1" applyFill="1" applyBorder="1" applyAlignment="1" applyProtection="1"/>
    <xf numFmtId="0" fontId="8" fillId="6" borderId="3" xfId="0" applyFont="1" applyFill="1" applyBorder="1"/>
    <xf numFmtId="173" fontId="0" fillId="4" borderId="0" xfId="0" applyNumberFormat="1" applyFill="1" applyProtection="1">
      <protection locked="0"/>
    </xf>
    <xf numFmtId="175" fontId="0" fillId="3" borderId="0" xfId="0" applyNumberFormat="1" applyFill="1"/>
    <xf numFmtId="175" fontId="0" fillId="0" borderId="0" xfId="0" applyNumberFormat="1" applyFill="1" applyProtection="1"/>
    <xf numFmtId="174" fontId="0" fillId="3" borderId="0" xfId="0" applyNumberFormat="1" applyFill="1" applyProtection="1"/>
    <xf numFmtId="0" fontId="8" fillId="0" borderId="0" xfId="0" applyFont="1" applyFill="1" applyProtection="1"/>
    <xf numFmtId="0" fontId="8" fillId="0" borderId="0" xfId="6" applyFont="1" applyFill="1" applyBorder="1" applyAlignment="1" applyProtection="1">
      <alignment wrapText="1"/>
    </xf>
    <xf numFmtId="174" fontId="8" fillId="6" borderId="13" xfId="0" applyNumberFormat="1" applyFont="1" applyFill="1" applyBorder="1"/>
    <xf numFmtId="174" fontId="8" fillId="6" borderId="1" xfId="0" applyNumberFormat="1" applyFont="1" applyFill="1" applyBorder="1"/>
    <xf numFmtId="174" fontId="0" fillId="3" borderId="0" xfId="0" applyNumberFormat="1" applyFill="1"/>
    <xf numFmtId="0" fontId="18" fillId="0" borderId="0" xfId="0" applyFont="1"/>
    <xf numFmtId="0" fontId="11" fillId="2" borderId="0" xfId="0" applyFont="1" applyFill="1"/>
    <xf numFmtId="182" fontId="3" fillId="4" borderId="0" xfId="3" applyNumberFormat="1" applyFont="1" applyFill="1" applyBorder="1" applyAlignment="1" applyProtection="1">
      <protection locked="0"/>
    </xf>
    <xf numFmtId="164" fontId="3" fillId="10" borderId="0" xfId="3" applyFont="1" applyFill="1" applyBorder="1" applyAlignment="1" applyProtection="1">
      <protection locked="0"/>
    </xf>
    <xf numFmtId="166" fontId="3" fillId="4" borderId="0" xfId="6" applyNumberFormat="1" applyFont="1" applyFill="1" applyBorder="1" applyAlignment="1" applyProtection="1">
      <protection locked="0"/>
    </xf>
    <xf numFmtId="0" fontId="3" fillId="10" borderId="0" xfId="6" applyFont="1" applyFill="1" applyBorder="1" applyAlignment="1" applyProtection="1">
      <protection locked="0"/>
    </xf>
    <xf numFmtId="0" fontId="8" fillId="0" borderId="1" xfId="0" applyFont="1" applyBorder="1"/>
    <xf numFmtId="171" fontId="3" fillId="0" borderId="0" xfId="0" applyNumberFormat="1" applyFont="1" applyFill="1" applyProtection="1">
      <protection locked="0"/>
    </xf>
    <xf numFmtId="171" fontId="3" fillId="4" borderId="0" xfId="0" applyNumberFormat="1" applyFont="1" applyFill="1" applyProtection="1">
      <protection locked="0"/>
    </xf>
    <xf numFmtId="171" fontId="3" fillId="0" borderId="0" xfId="0" applyNumberFormat="1" applyFont="1" applyFill="1" applyProtection="1"/>
    <xf numFmtId="172" fontId="3" fillId="0" borderId="0" xfId="0" applyNumberFormat="1" applyFont="1" applyFill="1" applyProtection="1"/>
    <xf numFmtId="176" fontId="3" fillId="4" borderId="0" xfId="3" applyNumberFormat="1" applyFont="1" applyFill="1" applyBorder="1" applyAlignment="1" applyProtection="1">
      <protection locked="0"/>
    </xf>
    <xf numFmtId="177" fontId="3" fillId="4" borderId="0" xfId="5" applyNumberFormat="1" applyFont="1" applyFill="1" applyBorder="1" applyAlignment="1" applyProtection="1">
      <protection locked="0"/>
    </xf>
    <xf numFmtId="175" fontId="8" fillId="6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5" applyFont="1" applyFill="1" applyBorder="1" applyAlignment="1" applyProtection="1"/>
    <xf numFmtId="168" fontId="3" fillId="4" borderId="0" xfId="6" applyNumberFormat="1" applyFont="1" applyFill="1" applyBorder="1" applyAlignment="1" applyProtection="1">
      <alignment horizontal="right"/>
      <protection locked="0"/>
    </xf>
    <xf numFmtId="166" fontId="3" fillId="0" borderId="0" xfId="5" applyNumberFormat="1" applyFont="1" applyFill="1" applyBorder="1" applyAlignment="1" applyProtection="1"/>
    <xf numFmtId="168" fontId="3" fillId="4" borderId="0" xfId="6" applyNumberFormat="1" applyFont="1" applyFill="1" applyBorder="1" applyAlignment="1" applyProtection="1">
      <alignment horizontal="right" wrapText="1"/>
      <protection locked="0"/>
    </xf>
    <xf numFmtId="166" fontId="3" fillId="4" borderId="0" xfId="6" applyNumberFormat="1" applyFont="1" applyFill="1" applyBorder="1" applyAlignment="1" applyProtection="1">
      <alignment horizontal="right" wrapText="1"/>
      <protection locked="0"/>
    </xf>
    <xf numFmtId="168" fontId="3" fillId="0" borderId="0" xfId="6" applyNumberFormat="1" applyFont="1" applyFill="1" applyBorder="1" applyAlignment="1" applyProtection="1">
      <alignment horizontal="right" wrapText="1"/>
    </xf>
    <xf numFmtId="166" fontId="3" fillId="3" borderId="0" xfId="5" applyNumberFormat="1" applyFont="1" applyFill="1" applyBorder="1" applyAlignment="1" applyProtection="1"/>
    <xf numFmtId="178" fontId="3" fillId="4" borderId="0" xfId="5" applyNumberFormat="1" applyFont="1" applyFill="1" applyBorder="1" applyAlignment="1" applyProtection="1">
      <protection locked="0"/>
    </xf>
    <xf numFmtId="175" fontId="8" fillId="6" borderId="0" xfId="0" applyNumberFormat="1" applyFont="1" applyFill="1"/>
    <xf numFmtId="0" fontId="19" fillId="0" borderId="0" xfId="0" applyFont="1" applyProtection="1"/>
    <xf numFmtId="0" fontId="19" fillId="0" borderId="0" xfId="0" applyFont="1"/>
    <xf numFmtId="164" fontId="8" fillId="6" borderId="13" xfId="3" applyFont="1" applyFill="1" applyBorder="1" applyAlignment="1" applyProtection="1"/>
    <xf numFmtId="164" fontId="8" fillId="0" borderId="0" xfId="3" applyFont="1" applyFill="1" applyBorder="1" applyAlignment="1" applyProtection="1"/>
    <xf numFmtId="164" fontId="8" fillId="6" borderId="0" xfId="3" applyFont="1" applyFill="1" applyBorder="1" applyAlignment="1" applyProtection="1"/>
    <xf numFmtId="179" fontId="3" fillId="4" borderId="0" xfId="0" applyNumberFormat="1" applyFont="1" applyFill="1" applyProtection="1">
      <protection locked="0"/>
    </xf>
    <xf numFmtId="180" fontId="0" fillId="3" borderId="0" xfId="0" applyNumberFormat="1" applyFill="1"/>
    <xf numFmtId="181" fontId="0" fillId="3" borderId="0" xfId="0" applyNumberFormat="1" applyFill="1"/>
    <xf numFmtId="181" fontId="0" fillId="4" borderId="0" xfId="0" applyNumberFormat="1" applyFill="1" applyProtection="1">
      <protection locked="0"/>
    </xf>
    <xf numFmtId="0" fontId="3" fillId="0" borderId="0" xfId="0" applyFont="1" applyAlignment="1">
      <alignment wrapText="1"/>
    </xf>
    <xf numFmtId="181" fontId="8" fillId="6" borderId="1" xfId="3" applyNumberFormat="1" applyFont="1" applyFill="1" applyBorder="1" applyAlignment="1" applyProtection="1"/>
    <xf numFmtId="173" fontId="0" fillId="0" borderId="0" xfId="0" applyNumberFormat="1"/>
    <xf numFmtId="173" fontId="0" fillId="3" borderId="0" xfId="0" applyNumberFormat="1" applyFill="1"/>
    <xf numFmtId="0" fontId="8" fillId="11" borderId="0" xfId="6" applyFont="1" applyFill="1" applyBorder="1" applyAlignment="1" applyProtection="1">
      <alignment wrapText="1"/>
    </xf>
    <xf numFmtId="0" fontId="17" fillId="0" borderId="0" xfId="0" applyFont="1" applyFill="1" applyAlignment="1" applyProtection="1">
      <alignment wrapText="1"/>
      <protection locked="0"/>
    </xf>
    <xf numFmtId="181" fontId="3" fillId="3" borderId="0" xfId="6" applyNumberFormat="1" applyFont="1" applyFill="1" applyBorder="1" applyAlignment="1" applyProtection="1"/>
    <xf numFmtId="181" fontId="3" fillId="0" borderId="0" xfId="6" applyNumberFormat="1" applyFont="1" applyFill="1" applyBorder="1" applyAlignment="1" applyProtection="1"/>
    <xf numFmtId="181" fontId="8" fillId="6" borderId="13" xfId="6" applyNumberFormat="1" applyFont="1" applyFill="1" applyBorder="1" applyAlignment="1" applyProtection="1"/>
    <xf numFmtId="181" fontId="8" fillId="6" borderId="15" xfId="6" applyNumberFormat="1" applyFont="1" applyFill="1" applyBorder="1" applyAlignment="1" applyProtection="1"/>
    <xf numFmtId="0" fontId="8" fillId="11" borderId="0" xfId="0" applyFont="1" applyFill="1" applyBorder="1" applyAlignment="1" applyProtection="1">
      <protection locked="0"/>
    </xf>
    <xf numFmtId="0" fontId="0" fillId="2" borderId="0" xfId="0" applyFill="1"/>
    <xf numFmtId="164" fontId="15" fillId="5" borderId="1" xfId="0" applyNumberFormat="1" applyFont="1" applyFill="1" applyBorder="1"/>
    <xf numFmtId="167" fontId="8" fillId="6" borderId="1" xfId="0" applyNumberFormat="1" applyFont="1" applyFill="1" applyBorder="1"/>
    <xf numFmtId="167" fontId="8" fillId="0" borderId="0" xfId="0" applyNumberFormat="1" applyFont="1" applyFill="1" applyBorder="1"/>
    <xf numFmtId="0" fontId="8" fillId="6" borderId="13" xfId="0" applyFont="1" applyFill="1" applyBorder="1" applyAlignment="1">
      <alignment wrapText="1"/>
    </xf>
    <xf numFmtId="181" fontId="0" fillId="0" borderId="0" xfId="0" applyNumberFormat="1"/>
    <xf numFmtId="164" fontId="8" fillId="6" borderId="2" xfId="3" applyFont="1" applyFill="1" applyBorder="1" applyAlignment="1" applyProtection="1"/>
    <xf numFmtId="170" fontId="8" fillId="11" borderId="0" xfId="5" applyNumberFormat="1" applyFont="1" applyFill="1" applyBorder="1" applyAlignment="1" applyProtection="1"/>
    <xf numFmtId="49" fontId="0" fillId="0" borderId="0" xfId="0" applyNumberFormat="1"/>
    <xf numFmtId="181" fontId="8" fillId="6" borderId="1" xfId="0" applyNumberFormat="1" applyFont="1" applyFill="1" applyBorder="1"/>
    <xf numFmtId="164" fontId="8" fillId="6" borderId="15" xfId="3" applyFont="1" applyFill="1" applyBorder="1" applyAlignment="1" applyProtection="1"/>
    <xf numFmtId="0" fontId="8" fillId="0" borderId="0" xfId="0" applyFont="1" applyAlignment="1">
      <alignment horizontal="center"/>
    </xf>
    <xf numFmtId="166" fontId="3" fillId="0" borderId="0" xfId="6" applyNumberFormat="1" applyFont="1" applyFill="1" applyBorder="1" applyAlignment="1" applyProtection="1"/>
    <xf numFmtId="166" fontId="3" fillId="0" borderId="0" xfId="0" applyNumberFormat="1" applyFont="1"/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Alignment="1">
      <alignment vertical="top"/>
    </xf>
    <xf numFmtId="183" fontId="0" fillId="0" borderId="0" xfId="0" applyNumberFormat="1" applyAlignment="1">
      <alignment vertical="top"/>
    </xf>
    <xf numFmtId="183" fontId="3" fillId="5" borderId="0" xfId="0" applyNumberFormat="1" applyFont="1" applyFill="1" applyAlignment="1" applyProtection="1">
      <alignment vertical="top"/>
      <protection locked="0"/>
    </xf>
    <xf numFmtId="183" fontId="8" fillId="6" borderId="0" xfId="0" applyNumberFormat="1" applyFont="1" applyFill="1" applyAlignment="1" applyProtection="1">
      <alignment vertical="top"/>
    </xf>
    <xf numFmtId="183" fontId="0" fillId="4" borderId="0" xfId="0" applyNumberFormat="1" applyFill="1" applyAlignment="1" applyProtection="1">
      <alignment vertical="top"/>
      <protection locked="0"/>
    </xf>
    <xf numFmtId="183" fontId="0" fillId="0" borderId="0" xfId="0" applyNumberFormat="1"/>
    <xf numFmtId="184" fontId="3" fillId="4" borderId="0" xfId="4" applyNumberFormat="1" applyFont="1" applyFill="1" applyBorder="1" applyAlignment="1" applyProtection="1">
      <alignment vertical="top"/>
      <protection locked="0"/>
    </xf>
    <xf numFmtId="184" fontId="8" fillId="6" borderId="1" xfId="0" applyNumberFormat="1" applyFont="1" applyFill="1" applyBorder="1"/>
    <xf numFmtId="0" fontId="3" fillId="4" borderId="0" xfId="6" applyFont="1" applyFill="1" applyBorder="1" applyAlignment="1" applyProtection="1">
      <alignment vertical="top"/>
      <protection locked="0"/>
    </xf>
    <xf numFmtId="166" fontId="0" fillId="0" borderId="0" xfId="0" applyNumberFormat="1" applyAlignment="1">
      <alignment vertical="top"/>
    </xf>
    <xf numFmtId="184" fontId="0" fillId="0" borderId="0" xfId="0" applyNumberFormat="1" applyAlignment="1">
      <alignment vertical="top"/>
    </xf>
    <xf numFmtId="0" fontId="8" fillId="6" borderId="1" xfId="0" applyFont="1" applyFill="1" applyBorder="1" applyAlignment="1">
      <alignment vertical="top"/>
    </xf>
    <xf numFmtId="183" fontId="8" fillId="6" borderId="1" xfId="0" applyNumberFormat="1" applyFont="1" applyFill="1" applyBorder="1" applyAlignment="1">
      <alignment vertical="top"/>
    </xf>
    <xf numFmtId="183" fontId="8" fillId="6" borderId="1" xfId="0" applyNumberFormat="1" applyFont="1" applyFill="1" applyBorder="1"/>
    <xf numFmtId="0" fontId="3" fillId="0" borderId="0" xfId="0" applyFont="1" applyFill="1" applyBorder="1" applyAlignment="1">
      <alignment vertical="top"/>
    </xf>
    <xf numFmtId="185" fontId="0" fillId="4" borderId="0" xfId="0" applyNumberFormat="1" applyFill="1" applyProtection="1">
      <protection locked="0"/>
    </xf>
    <xf numFmtId="184" fontId="0" fillId="4" borderId="0" xfId="0" applyNumberFormat="1" applyFill="1" applyProtection="1">
      <protection locked="0"/>
    </xf>
    <xf numFmtId="0" fontId="8" fillId="6" borderId="2" xfId="0" applyFont="1" applyFill="1" applyBorder="1"/>
    <xf numFmtId="183" fontId="8" fillId="6" borderId="3" xfId="0" applyNumberFormat="1" applyFont="1" applyFill="1" applyBorder="1"/>
    <xf numFmtId="0" fontId="20" fillId="2" borderId="0" xfId="0" applyFont="1" applyFill="1"/>
    <xf numFmtId="186" fontId="0" fillId="4" borderId="0" xfId="4" applyNumberFormat="1" applyFont="1" applyFill="1" applyBorder="1" applyAlignment="1" applyProtection="1">
      <alignment vertical="top"/>
      <protection locked="0"/>
    </xf>
    <xf numFmtId="187" fontId="0" fillId="0" borderId="0" xfId="0" applyNumberFormat="1" applyFill="1" applyAlignment="1" applyProtection="1">
      <alignment vertical="top"/>
    </xf>
    <xf numFmtId="165" fontId="0" fillId="0" borderId="0" xfId="0" applyNumberFormat="1" applyFill="1" applyAlignment="1" applyProtection="1">
      <alignment vertical="top"/>
    </xf>
    <xf numFmtId="165" fontId="0" fillId="0" borderId="0" xfId="0" applyNumberFormat="1"/>
    <xf numFmtId="170" fontId="0" fillId="0" borderId="0" xfId="5" applyNumberFormat="1" applyFont="1" applyFill="1" applyBorder="1" applyAlignment="1" applyProtection="1">
      <alignment vertical="top"/>
    </xf>
    <xf numFmtId="171" fontId="0" fillId="4" borderId="0" xfId="0" applyNumberFormat="1" applyFill="1" applyAlignment="1" applyProtection="1">
      <alignment vertical="top"/>
      <protection locked="0"/>
    </xf>
    <xf numFmtId="168" fontId="3" fillId="4" borderId="0" xfId="6" applyNumberFormat="1" applyFont="1" applyFill="1" applyBorder="1" applyAlignment="1" applyProtection="1">
      <alignment vertical="top"/>
      <protection locked="0"/>
    </xf>
    <xf numFmtId="188" fontId="3" fillId="4" borderId="0" xfId="6" applyNumberFormat="1" applyFont="1" applyFill="1" applyBorder="1" applyAlignment="1" applyProtection="1">
      <alignment vertical="top"/>
      <protection locked="0"/>
    </xf>
    <xf numFmtId="183" fontId="8" fillId="0" borderId="0" xfId="0" applyNumberFormat="1" applyFont="1" applyFill="1" applyBorder="1"/>
    <xf numFmtId="183" fontId="8" fillId="6" borderId="2" xfId="0" applyNumberFormat="1" applyFont="1" applyFill="1" applyBorder="1" applyAlignment="1">
      <alignment vertical="top"/>
    </xf>
    <xf numFmtId="173" fontId="0" fillId="0" borderId="0" xfId="0" applyNumberFormat="1" applyFill="1"/>
    <xf numFmtId="0" fontId="10" fillId="2" borderId="0" xfId="0" applyFont="1" applyFill="1"/>
    <xf numFmtId="0" fontId="0" fillId="4" borderId="0" xfId="0" applyFill="1" applyProtection="1">
      <protection locked="0"/>
    </xf>
    <xf numFmtId="182" fontId="0" fillId="4" borderId="0" xfId="0" applyNumberFormat="1" applyFill="1" applyProtection="1">
      <protection locked="0"/>
    </xf>
    <xf numFmtId="189" fontId="0" fillId="0" borderId="0" xfId="0" applyNumberFormat="1"/>
    <xf numFmtId="182" fontId="0" fillId="0" borderId="0" xfId="0" applyNumberFormat="1"/>
    <xf numFmtId="0" fontId="8" fillId="6" borderId="0" xfId="0" applyFont="1" applyFill="1"/>
    <xf numFmtId="182" fontId="8" fillId="6" borderId="0" xfId="0" applyNumberFormat="1" applyFont="1" applyFill="1"/>
    <xf numFmtId="183" fontId="0" fillId="0" borderId="0" xfId="0" applyNumberFormat="1" applyFill="1" applyAlignment="1" applyProtection="1">
      <alignment vertical="top"/>
      <protection locked="0"/>
    </xf>
    <xf numFmtId="186" fontId="0" fillId="0" borderId="0" xfId="4" applyNumberFormat="1" applyFont="1" applyFill="1" applyBorder="1" applyAlignment="1" applyProtection="1">
      <alignment vertical="top"/>
      <protection locked="0"/>
    </xf>
    <xf numFmtId="187" fontId="0" fillId="0" borderId="0" xfId="0" applyNumberFormat="1" applyFill="1" applyAlignment="1" applyProtection="1">
      <alignment vertical="top"/>
      <protection locked="0"/>
    </xf>
    <xf numFmtId="188" fontId="0" fillId="0" borderId="0" xfId="0" applyNumberFormat="1" applyFill="1" applyAlignment="1" applyProtection="1">
      <alignment vertical="top"/>
      <protection locked="0"/>
    </xf>
    <xf numFmtId="0" fontId="3" fillId="0" borderId="0" xfId="0" applyFont="1" applyFill="1" applyAlignment="1">
      <alignment vertical="top"/>
    </xf>
    <xf numFmtId="170" fontId="3" fillId="0" borderId="0" xfId="5" applyNumberFormat="1" applyFont="1" applyFill="1" applyBorder="1" applyAlignment="1" applyProtection="1">
      <alignment vertical="top"/>
    </xf>
    <xf numFmtId="170" fontId="3" fillId="0" borderId="0" xfId="0" applyNumberFormat="1" applyFont="1" applyFill="1" applyAlignment="1" applyProtection="1">
      <alignment vertical="top"/>
    </xf>
    <xf numFmtId="0" fontId="3" fillId="0" borderId="0" xfId="0" applyFont="1" applyFill="1"/>
    <xf numFmtId="170" fontId="0" fillId="0" borderId="0" xfId="5" applyNumberFormat="1" applyFont="1" applyFill="1" applyBorder="1" applyAlignment="1" applyProtection="1">
      <alignment vertical="top"/>
      <protection locked="0"/>
    </xf>
    <xf numFmtId="184" fontId="3" fillId="4" borderId="0" xfId="6" applyNumberFormat="1" applyFont="1" applyFill="1" applyBorder="1" applyAlignment="1" applyProtection="1">
      <alignment vertical="top"/>
      <protection locked="0"/>
    </xf>
    <xf numFmtId="166" fontId="0" fillId="4" borderId="0" xfId="6" applyNumberFormat="1" applyFont="1" applyFill="1" applyBorder="1" applyAlignment="1" applyProtection="1">
      <alignment vertical="top"/>
      <protection locked="0"/>
    </xf>
    <xf numFmtId="184" fontId="8" fillId="11" borderId="1" xfId="0" applyNumberFormat="1" applyFont="1" applyFill="1" applyBorder="1"/>
    <xf numFmtId="0" fontId="0" fillId="4" borderId="0" xfId="6" applyFont="1" applyFill="1" applyBorder="1" applyAlignment="1" applyProtection="1">
      <alignment vertical="top"/>
      <protection locked="0"/>
    </xf>
    <xf numFmtId="0" fontId="15" fillId="2" borderId="0" xfId="0" applyFont="1" applyFill="1" applyAlignment="1">
      <alignment vertical="top"/>
    </xf>
    <xf numFmtId="183" fontId="21" fillId="2" borderId="0" xfId="0" applyNumberFormat="1" applyFont="1" applyFill="1" applyAlignment="1">
      <alignment vertical="top"/>
    </xf>
    <xf numFmtId="183" fontId="8" fillId="2" borderId="0" xfId="0" applyNumberFormat="1" applyFont="1" applyFill="1"/>
    <xf numFmtId="183" fontId="8" fillId="6" borderId="1" xfId="0" applyNumberFormat="1" applyFont="1" applyFill="1" applyBorder="1" applyAlignment="1" applyProtection="1">
      <alignment vertical="top"/>
    </xf>
    <xf numFmtId="191" fontId="0" fillId="0" borderId="0" xfId="0" applyNumberFormat="1" applyAlignment="1">
      <alignment vertical="top"/>
    </xf>
    <xf numFmtId="170" fontId="0" fillId="0" borderId="0" xfId="0" applyNumberFormat="1" applyAlignment="1">
      <alignment vertical="top"/>
    </xf>
    <xf numFmtId="183" fontId="0" fillId="0" borderId="0" xfId="0" applyNumberFormat="1" applyFill="1" applyAlignment="1">
      <alignment vertical="top"/>
    </xf>
    <xf numFmtId="192" fontId="0" fillId="0" borderId="0" xfId="0" applyNumberFormat="1" applyAlignment="1">
      <alignment vertical="top"/>
    </xf>
    <xf numFmtId="190" fontId="0" fillId="4" borderId="0" xfId="0" applyNumberFormat="1" applyFill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183" fontId="3" fillId="4" borderId="0" xfId="0" applyNumberFormat="1" applyFont="1" applyFill="1" applyAlignment="1" applyProtection="1">
      <alignment vertical="top"/>
      <protection locked="0"/>
    </xf>
    <xf numFmtId="192" fontId="3" fillId="0" borderId="0" xfId="0" applyNumberFormat="1" applyFont="1" applyAlignment="1">
      <alignment vertical="top"/>
    </xf>
    <xf numFmtId="184" fontId="0" fillId="4" borderId="0" xfId="0" applyNumberFormat="1" applyFill="1" applyAlignment="1" applyProtection="1">
      <alignment vertical="top"/>
      <protection locked="0"/>
    </xf>
    <xf numFmtId="183" fontId="0" fillId="0" borderId="0" xfId="0" applyNumberFormat="1" applyFill="1" applyAlignment="1" applyProtection="1">
      <alignment vertical="top"/>
    </xf>
    <xf numFmtId="183" fontId="3" fillId="4" borderId="0" xfId="6" applyNumberFormat="1" applyFont="1" applyFill="1" applyBorder="1" applyAlignment="1" applyProtection="1">
      <alignment vertical="top"/>
      <protection locked="0"/>
    </xf>
    <xf numFmtId="181" fontId="0" fillId="0" borderId="0" xfId="0" applyNumberFormat="1" applyAlignment="1">
      <alignment vertical="top"/>
    </xf>
    <xf numFmtId="190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183" fontId="8" fillId="0" borderId="0" xfId="0" applyNumberFormat="1" applyFont="1" applyAlignment="1">
      <alignment vertical="top"/>
    </xf>
    <xf numFmtId="183" fontId="8" fillId="6" borderId="1" xfId="0" applyNumberFormat="1" applyFont="1" applyFill="1" applyBorder="1" applyAlignment="1"/>
    <xf numFmtId="183" fontId="8" fillId="0" borderId="0" xfId="0" applyNumberFormat="1" applyFont="1" applyAlignment="1"/>
    <xf numFmtId="193" fontId="0" fillId="4" borderId="0" xfId="0" applyNumberFormat="1" applyFill="1" applyAlignment="1" applyProtection="1">
      <alignment vertical="top"/>
      <protection locked="0"/>
    </xf>
    <xf numFmtId="184" fontId="3" fillId="4" borderId="0" xfId="0" applyNumberFormat="1" applyFont="1" applyFill="1" applyAlignment="1" applyProtection="1">
      <alignment vertical="top"/>
      <protection locked="0"/>
    </xf>
    <xf numFmtId="192" fontId="3" fillId="4" borderId="0" xfId="6" applyNumberFormat="1" applyFont="1" applyFill="1" applyBorder="1" applyAlignment="1" applyProtection="1">
      <alignment vertical="top"/>
      <protection locked="0"/>
    </xf>
    <xf numFmtId="194" fontId="0" fillId="4" borderId="0" xfId="0" applyNumberFormat="1" applyFill="1" applyAlignment="1" applyProtection="1">
      <alignment vertical="top"/>
      <protection locked="0"/>
    </xf>
    <xf numFmtId="0" fontId="8" fillId="0" borderId="0" xfId="0" applyFont="1" applyAlignment="1"/>
    <xf numFmtId="196" fontId="0" fillId="0" borderId="0" xfId="0" applyNumberFormat="1"/>
    <xf numFmtId="196" fontId="3" fillId="0" borderId="0" xfId="0" applyNumberFormat="1" applyFont="1" applyAlignment="1">
      <alignment wrapText="1"/>
    </xf>
    <xf numFmtId="196" fontId="0" fillId="4" borderId="0" xfId="0" applyNumberFormat="1" applyFill="1" applyProtection="1">
      <protection locked="0"/>
    </xf>
    <xf numFmtId="196" fontId="0" fillId="0" borderId="0" xfId="0" applyNumberFormat="1" applyFill="1"/>
    <xf numFmtId="195" fontId="3" fillId="4" borderId="0" xfId="0" applyNumberFormat="1" applyFont="1" applyFill="1" applyProtection="1">
      <protection locked="0"/>
    </xf>
    <xf numFmtId="196" fontId="0" fillId="0" borderId="0" xfId="0" applyNumberFormat="1" applyFill="1" applyProtection="1"/>
    <xf numFmtId="0" fontId="8" fillId="4" borderId="0" xfId="0" applyFont="1" applyFill="1" applyProtection="1">
      <protection locked="0"/>
    </xf>
    <xf numFmtId="0" fontId="17" fillId="0" borderId="0" xfId="0" applyFont="1"/>
    <xf numFmtId="0" fontId="0" fillId="0" borderId="0" xfId="0" applyProtection="1">
      <protection locked="0"/>
    </xf>
    <xf numFmtId="0" fontId="22" fillId="0" borderId="0" xfId="0" applyFont="1"/>
    <xf numFmtId="184" fontId="0" fillId="0" borderId="0" xfId="0" applyNumberFormat="1" applyFill="1" applyProtection="1"/>
    <xf numFmtId="0" fontId="22" fillId="0" borderId="0" xfId="0" applyFont="1" applyFill="1"/>
    <xf numFmtId="0" fontId="22" fillId="0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197" fontId="0" fillId="4" borderId="0" xfId="0" applyNumberFormat="1" applyFill="1" applyAlignment="1" applyProtection="1">
      <alignment horizontal="right"/>
      <protection locked="0"/>
    </xf>
    <xf numFmtId="198" fontId="0" fillId="4" borderId="0" xfId="0" applyNumberFormat="1" applyFill="1" applyProtection="1">
      <protection locked="0"/>
    </xf>
    <xf numFmtId="188" fontId="0" fillId="0" borderId="0" xfId="0" applyNumberFormat="1"/>
    <xf numFmtId="188" fontId="8" fillId="6" borderId="4" xfId="0" applyNumberFormat="1" applyFont="1" applyFill="1" applyBorder="1" applyAlignment="1">
      <alignment horizontal="center"/>
    </xf>
    <xf numFmtId="165" fontId="8" fillId="6" borderId="6" xfId="0" applyNumberFormat="1" applyFont="1" applyFill="1" applyBorder="1" applyAlignment="1">
      <alignment horizontal="center"/>
    </xf>
    <xf numFmtId="165" fontId="8" fillId="3" borderId="2" xfId="0" applyNumberFormat="1" applyFont="1" applyFill="1" applyBorder="1"/>
    <xf numFmtId="0" fontId="8" fillId="3" borderId="11" xfId="0" applyFont="1" applyFill="1" applyBorder="1"/>
    <xf numFmtId="165" fontId="8" fillId="3" borderId="11" xfId="0" applyNumberFormat="1" applyFont="1" applyFill="1" applyBorder="1"/>
    <xf numFmtId="165" fontId="8" fillId="3" borderId="3" xfId="0" applyNumberFormat="1" applyFont="1" applyFill="1" applyBorder="1"/>
    <xf numFmtId="188" fontId="6" fillId="6" borderId="7" xfId="0" applyNumberFormat="1" applyFont="1" applyFill="1" applyBorder="1"/>
    <xf numFmtId="165" fontId="6" fillId="6" borderId="8" xfId="0" applyNumberFormat="1" applyFont="1" applyFill="1" applyBorder="1"/>
    <xf numFmtId="188" fontId="8" fillId="6" borderId="7" xfId="0" applyNumberFormat="1" applyFont="1" applyFill="1" applyBorder="1"/>
    <xf numFmtId="165" fontId="8" fillId="6" borderId="8" xfId="0" applyNumberFormat="1" applyFont="1" applyFill="1" applyBorder="1"/>
    <xf numFmtId="0" fontId="0" fillId="3" borderId="11" xfId="0" applyFill="1" applyBorder="1"/>
    <xf numFmtId="167" fontId="8" fillId="3" borderId="2" xfId="0" applyNumberFormat="1" applyFont="1" applyFill="1" applyBorder="1"/>
    <xf numFmtId="167" fontId="8" fillId="3" borderId="11" xfId="0" applyNumberFormat="1" applyFont="1" applyFill="1" applyBorder="1"/>
    <xf numFmtId="167" fontId="8" fillId="3" borderId="3" xfId="0" applyNumberFormat="1" applyFont="1" applyFill="1" applyBorder="1"/>
    <xf numFmtId="199" fontId="8" fillId="6" borderId="12" xfId="0" applyNumberFormat="1" applyFont="1" applyFill="1" applyBorder="1"/>
    <xf numFmtId="196" fontId="8" fillId="6" borderId="10" xfId="0" applyNumberFormat="1" applyFont="1" applyFill="1" applyBorder="1"/>
    <xf numFmtId="0" fontId="24" fillId="0" borderId="17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198" fontId="24" fillId="0" borderId="0" xfId="0" applyNumberFormat="1" applyFont="1" applyAlignment="1">
      <alignment horizontal="right" vertical="top" wrapText="1"/>
    </xf>
    <xf numFmtId="0" fontId="24" fillId="0" borderId="20" xfId="0" applyFont="1" applyBorder="1" applyAlignment="1">
      <alignment vertical="top" wrapText="1"/>
    </xf>
    <xf numFmtId="197" fontId="24" fillId="0" borderId="5" xfId="0" applyNumberFormat="1" applyFont="1" applyBorder="1" applyAlignment="1">
      <alignment vertical="top" wrapText="1"/>
    </xf>
    <xf numFmtId="0" fontId="24" fillId="0" borderId="5" xfId="0" applyFont="1" applyBorder="1" applyAlignment="1">
      <alignment horizontal="right" vertical="top" wrapText="1"/>
    </xf>
    <xf numFmtId="197" fontId="24" fillId="0" borderId="0" xfId="0" applyNumberFormat="1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4" fillId="0" borderId="21" xfId="0" applyFont="1" applyBorder="1" applyAlignment="1">
      <alignment horizontal="right" vertical="top" wrapText="1"/>
    </xf>
    <xf numFmtId="197" fontId="24" fillId="0" borderId="9" xfId="0" applyNumberFormat="1" applyFont="1" applyBorder="1" applyAlignment="1">
      <alignment vertical="top" wrapText="1"/>
    </xf>
    <xf numFmtId="0" fontId="24" fillId="0" borderId="9" xfId="0" applyFont="1" applyBorder="1" applyAlignment="1">
      <alignment horizontal="right" vertical="top" wrapText="1"/>
    </xf>
    <xf numFmtId="0" fontId="24" fillId="0" borderId="19" xfId="0" applyFont="1" applyBorder="1" applyAlignment="1">
      <alignment vertical="top" wrapText="1"/>
    </xf>
    <xf numFmtId="0" fontId="24" fillId="0" borderId="22" xfId="0" applyFont="1" applyBorder="1" applyAlignment="1">
      <alignment horizontal="right" vertical="top" wrapText="1"/>
    </xf>
    <xf numFmtId="197" fontId="24" fillId="0" borderId="16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top" wrapText="1"/>
    </xf>
    <xf numFmtId="0" fontId="27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184" fontId="25" fillId="0" borderId="0" xfId="0" applyNumberFormat="1" applyFont="1" applyAlignment="1">
      <alignment vertical="top"/>
    </xf>
    <xf numFmtId="0" fontId="3" fillId="4" borderId="0" xfId="0" applyFont="1" applyFill="1" applyBorder="1" applyAlignment="1" applyProtection="1">
      <protection locked="0"/>
    </xf>
    <xf numFmtId="0" fontId="23" fillId="0" borderId="16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11" fillId="12" borderId="0" xfId="0" applyFont="1" applyFill="1"/>
    <xf numFmtId="0" fontId="0" fillId="12" borderId="0" xfId="0" applyFill="1"/>
    <xf numFmtId="165" fontId="0" fillId="0" borderId="0" xfId="0" applyNumberFormat="1" applyFill="1" applyProtection="1"/>
    <xf numFmtId="165" fontId="0" fillId="4" borderId="0" xfId="0" applyNumberFormat="1" applyFill="1" applyProtection="1">
      <protection locked="0"/>
    </xf>
    <xf numFmtId="200" fontId="0" fillId="0" borderId="0" xfId="0" applyNumberFormat="1"/>
    <xf numFmtId="0" fontId="8" fillId="6" borderId="11" xfId="0" applyFont="1" applyFill="1" applyBorder="1"/>
    <xf numFmtId="196" fontId="8" fillId="6" borderId="11" xfId="0" applyNumberFormat="1" applyFont="1" applyFill="1" applyBorder="1"/>
    <xf numFmtId="196" fontId="8" fillId="6" borderId="3" xfId="0" applyNumberFormat="1" applyFont="1" applyFill="1" applyBorder="1"/>
    <xf numFmtId="196" fontId="0" fillId="0" borderId="9" xfId="0" applyNumberFormat="1" applyBorder="1"/>
    <xf numFmtId="190" fontId="8" fillId="6" borderId="3" xfId="0" applyNumberFormat="1" applyFont="1" applyFill="1" applyBorder="1"/>
    <xf numFmtId="182" fontId="8" fillId="6" borderId="2" xfId="0" applyNumberFormat="1" applyFont="1" applyFill="1" applyBorder="1"/>
    <xf numFmtId="165" fontId="3" fillId="0" borderId="0" xfId="4" applyNumberFormat="1" applyFont="1" applyFill="1" applyBorder="1" applyAlignment="1" applyProtection="1"/>
    <xf numFmtId="10" fontId="3" fillId="4" borderId="11" xfId="6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0" fontId="8" fillId="6" borderId="11" xfId="0" applyFont="1" applyFill="1" applyBorder="1"/>
    <xf numFmtId="202" fontId="0" fillId="0" borderId="0" xfId="0" applyNumberFormat="1"/>
    <xf numFmtId="44" fontId="0" fillId="0" borderId="8" xfId="1" applyFont="1" applyBorder="1"/>
    <xf numFmtId="44" fontId="0" fillId="0" borderId="0" xfId="1" applyFont="1" applyAlignment="1">
      <alignment shrinkToFit="1"/>
    </xf>
  </cellXfs>
  <cellStyles count="11">
    <cellStyle name="ConditionalStyle_1" xfId="2"/>
    <cellStyle name="Euro" xfId="3"/>
    <cellStyle name="Excel Built-in Comma" xfId="4"/>
    <cellStyle name="Excel Built-in Currency" xfId="5"/>
    <cellStyle name="Excel Built-in Percent" xfId="6"/>
    <cellStyle name="Heading" xfId="7"/>
    <cellStyle name="Heading1" xfId="8"/>
    <cellStyle name="Result" xfId="9"/>
    <cellStyle name="Result2" xfId="10"/>
    <cellStyle name="Standard" xfId="0" builtinId="0" customBuiltin="1"/>
    <cellStyle name="Währung" xfId="1" builtinId="4"/>
  </cellStyles>
  <dxfs count="2">
    <dxf/>
    <dxf/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200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Vermögensstruktur</a:t>
            </a:r>
          </a:p>
        </c:rich>
      </c:tx>
      <c:layout>
        <c:manualLayout>
          <c:xMode val="edge"/>
          <c:yMode val="edge"/>
          <c:x val="0.35684970280215111"/>
          <c:y val="3.9309058707986906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0.21285026889329178"/>
          <c:y val="0.31535830760661043"/>
          <c:w val="0.33229549957543164"/>
          <c:h val="0.51998687237382113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5B9BD5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cat>
            <c:strRef>
              <c:f>Bilanz!$F$3:$F$4</c:f>
              <c:strCache>
                <c:ptCount val="2"/>
                <c:pt idx="0">
                  <c:v>Anlagevermögen:</c:v>
                </c:pt>
                <c:pt idx="1">
                  <c:v>Umlaufvermögen:</c:v>
                </c:pt>
              </c:strCache>
            </c:strRef>
          </c:cat>
          <c:val>
            <c:numRef>
              <c:f>Bilanz!$G$3:$G$4</c:f>
              <c:numCache>
                <c:formatCode>" "#,##0.00" "[$€]" ";"-"#,##0.00" "[$€]" ";" -"#" "[$€]" ";" "@" "</c:formatCode>
                <c:ptCount val="2"/>
                <c:pt idx="0">
                  <c:v>254967.2</c:v>
                </c:pt>
                <c:pt idx="1">
                  <c:v>67534.3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56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920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200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Kapitalstruktur</a:t>
            </a:r>
          </a:p>
        </c:rich>
      </c:tx>
      <c:layout>
        <c:manualLayout>
          <c:xMode val="edge"/>
          <c:yMode val="edge"/>
          <c:x val="0.38478557948851438"/>
          <c:y val="3.9343178311659691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0.23212077829114336"/>
          <c:y val="0.28322680185144372"/>
          <c:w val="0.34495997917615667"/>
          <c:h val="0.58419660568657705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5B9BD5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FFFCC"/>
              </a:solidFill>
            </c:spPr>
          </c:dPt>
          <c:dPt>
            <c:idx val="3"/>
            <c:bubble3D val="0"/>
            <c:spPr>
              <a:solidFill>
                <a:srgbClr val="CCFFFF"/>
              </a:solidFill>
            </c:spPr>
          </c:dPt>
          <c:cat>
            <c:strRef>
              <c:f>Bilanz!$F$29:$F$32</c:f>
              <c:strCache>
                <c:ptCount val="4"/>
                <c:pt idx="0">
                  <c:v>Eigenkapital</c:v>
                </c:pt>
                <c:pt idx="1">
                  <c:v>FK lang</c:v>
                </c:pt>
                <c:pt idx="2">
                  <c:v>FK mittel</c:v>
                </c:pt>
                <c:pt idx="3">
                  <c:v>FK kurz</c:v>
                </c:pt>
              </c:strCache>
            </c:strRef>
          </c:cat>
          <c:val>
            <c:numRef>
              <c:f>Bilanz!$G$29:$G$32</c:f>
              <c:numCache>
                <c:formatCode>" "#,##0.00" "[$€]" ";"-"#,##0.00" "[$€]" ";" -"#" "[$€]" ";" "@" "</c:formatCode>
                <c:ptCount val="4"/>
                <c:pt idx="0">
                  <c:v>170191.5</c:v>
                </c:pt>
                <c:pt idx="1">
                  <c:v>113250</c:v>
                </c:pt>
                <c:pt idx="2">
                  <c:v>0</c:v>
                </c:pt>
                <c:pt idx="3">
                  <c:v>39060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56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920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025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Wertschöpfung des Betriebes</a:t>
            </a:r>
          </a:p>
        </c:rich>
      </c:tx>
      <c:layout>
        <c:manualLayout>
          <c:xMode val="edge"/>
          <c:yMode val="edge"/>
          <c:x val="0.30388406649992644"/>
          <c:y val="3.7509768168793957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0.14675592173017507"/>
          <c:y val="0.21385777546235998"/>
          <c:w val="0.39105487715168458"/>
          <c:h val="0.69236780411565513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5B9BD5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cat>
            <c:strRef>
              <c:f>GuV!$A$52:$A$53</c:f>
              <c:strCache>
                <c:ptCount val="2"/>
                <c:pt idx="0">
                  <c:v>Direktkostenfreie Leistung (Produktion):</c:v>
                </c:pt>
                <c:pt idx="1">
                  <c:v>Direktkostenfreie Leistung (Handel):</c:v>
                </c:pt>
              </c:strCache>
            </c:strRef>
          </c:cat>
          <c:val>
            <c:numRef>
              <c:f>GuV!$B$52:$B$53</c:f>
              <c:numCache>
                <c:formatCode>" "#,##0.00" "[$€-C0A]" ";"-"#,##0.00" "[$€-C0A]" ";" -"#" "[$€-C0A]" ";" "@" "</c:formatCode>
                <c:ptCount val="2"/>
                <c:pt idx="0">
                  <c:v>274184.69000000006</c:v>
                </c:pt>
                <c:pt idx="1">
                  <c:v>39537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56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780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975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Verteilung der Kosten</a:t>
            </a:r>
          </a:p>
        </c:rich>
      </c:tx>
      <c:layout>
        <c:manualLayout>
          <c:xMode val="edge"/>
          <c:yMode val="edge"/>
          <c:x val="0.36551565730035979"/>
          <c:y val="3.7509768168793957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0.16093714110711277"/>
          <c:y val="0.21320656420942954"/>
          <c:w val="0.40624760738075177"/>
          <c:h val="0.6910653816097941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9CC00"/>
              </a:solidFill>
            </c:spPr>
          </c:dPt>
          <c:dPt>
            <c:idx val="1"/>
            <c:bubble3D val="0"/>
            <c:spPr>
              <a:solidFill>
                <a:srgbClr val="FFD320"/>
              </a:solidFill>
            </c:spPr>
          </c:dPt>
          <c:dPt>
            <c:idx val="2"/>
            <c:bubble3D val="0"/>
            <c:spPr>
              <a:solidFill>
                <a:srgbClr val="579D1C"/>
              </a:solidFill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GuV!$A$47:$A$50</c15:sqref>
                  </c15:fullRef>
                </c:ext>
              </c:extLst>
              <c:f>(GuV!$A$47,GuV!$A$49:$A$50)</c:f>
              <c:strCache>
                <c:ptCount val="3"/>
                <c:pt idx="0">
                  <c:v>Summe Einzelkosten:</c:v>
                </c:pt>
                <c:pt idx="1">
                  <c:v>bare GK:</c:v>
                </c:pt>
                <c:pt idx="2">
                  <c:v>unbare GK: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GuV!$B$47:$B$50</c15:sqref>
                  </c15:fullRef>
                </c:ext>
              </c:extLst>
              <c:f>(GuV!$B$47,GuV!$B$49:$B$50)</c:f>
              <c:numCache>
                <c:formatCode>" "#,##0.00" "[$€]" ";"-"#,##0.00" "[$€]" ";" -"#" "[$€]" ";" "@" "</c:formatCode>
                <c:ptCount val="3"/>
                <c:pt idx="0">
                  <c:v>506298.95650524291</c:v>
                </c:pt>
                <c:pt idx="1">
                  <c:v>82108.053209172736</c:v>
                </c:pt>
                <c:pt idx="2" formatCode="General">
                  <c:v>96324.501466666654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GuV!$B$48</c15:sqref>
                  <c15:spPr xmlns:c15="http://schemas.microsoft.com/office/drawing/2012/chart">
                    <a:solidFill>
                      <a:srgbClr val="FF6600"/>
                    </a:solidFill>
                  </c15:spPr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56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755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200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So setzen sich die Stunden zusammen</a:t>
            </a:r>
          </a:p>
        </c:rich>
      </c:tx>
      <c:layout>
        <c:manualLayout>
          <c:xMode val="edge"/>
          <c:yMode val="edge"/>
          <c:x val="0.2334752702260072"/>
          <c:y val="3.4777715250422059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3.6030134294136915E-2"/>
          <c:y val="8.1260551491277436E-2"/>
          <c:w val="0.53114950686028317"/>
          <c:h val="0.86561620709060205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518ABD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FFFCC"/>
              </a:solidFill>
            </c:spPr>
          </c:dPt>
          <c:dPt>
            <c:idx val="3"/>
            <c:bubble3D val="0"/>
            <c:spPr>
              <a:solidFill>
                <a:srgbClr val="CCFFFF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Pt>
            <c:idx val="5"/>
            <c:bubble3D val="0"/>
            <c:spPr>
              <a:solidFill>
                <a:srgbClr val="FF8080"/>
              </a:solidFill>
            </c:spPr>
          </c:dPt>
          <c:dPt>
            <c:idx val="6"/>
            <c:bubble3D val="0"/>
            <c:spPr>
              <a:solidFill>
                <a:srgbClr val="0066CC"/>
              </a:solidFill>
            </c:spPr>
          </c:dPt>
          <c:dPt>
            <c:idx val="7"/>
            <c:bubble3D val="0"/>
            <c:spPr>
              <a:solidFill>
                <a:srgbClr val="CCCCFF"/>
              </a:solidFill>
            </c:spPr>
          </c:dPt>
          <c:dPt>
            <c:idx val="8"/>
            <c:bubble3D val="0"/>
            <c:spPr>
              <a:solidFill>
                <a:srgbClr val="000080"/>
              </a:solidFill>
            </c:spPr>
          </c:dPt>
          <c:dLbls>
            <c:numFmt formatCode="0&quot; h/a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rgbClr val="000000"/>
                    </a:solidFill>
                    <a:ea typeface="Arial"/>
                    <a:cs typeface="Arial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;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BDL!$A$6:$A$14</c:f>
              <c:strCache>
                <c:ptCount val="9"/>
                <c:pt idx="0">
                  <c:v>davon im Büro: (%)</c:v>
                </c:pt>
                <c:pt idx="1">
                  <c:v>davon im Außendienst: (%)</c:v>
                </c:pt>
                <c:pt idx="2">
                  <c:v>davon in den Kulturen: (%)</c:v>
                </c:pt>
                <c:pt idx="3">
                  <c:v>davon im Endverkauf: (%)</c:v>
                </c:pt>
                <c:pt idx="4">
                  <c:v>davon im Dienstleistungsbereich: (%):</c:v>
                </c:pt>
                <c:pt idx="5">
                  <c:v>Objektgestaltung</c:v>
                </c:pt>
                <c:pt idx="6">
                  <c:v>0</c:v>
                </c:pt>
                <c:pt idx="7">
                  <c:v>Betriebsdurchschnittslohn</c:v>
                </c:pt>
                <c:pt idx="8">
                  <c:v>Nicht zurechenbar</c:v>
                </c:pt>
              </c:strCache>
            </c:strRef>
          </c:cat>
          <c:val>
            <c:numRef>
              <c:f>BDL!$B$6:$B$14</c:f>
              <c:numCache>
                <c:formatCode>0" h/a"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6024.81</c:v>
                </c:pt>
                <c:pt idx="3">
                  <c:v>655.8900000000001</c:v>
                </c:pt>
                <c:pt idx="4">
                  <c:v>687.90000000000009</c:v>
                </c:pt>
                <c:pt idx="5">
                  <c:v>340.70000000000005</c:v>
                </c:pt>
                <c:pt idx="6">
                  <c:v>0</c:v>
                </c:pt>
                <c:pt idx="8">
                  <c:v>808.40000000000043</c:v>
                </c:pt>
              </c:numCache>
            </c:numRef>
          </c:val>
        </c:ser>
        <c:ser>
          <c:idx val="1"/>
          <c:order val="1"/>
          <c:explosion val="25"/>
          <c:dPt>
            <c:idx val="0"/>
            <c:bubble3D val="0"/>
            <c:spPr>
              <a:solidFill>
                <a:srgbClr val="9999FF"/>
              </a:solidFill>
            </c:spPr>
          </c:dPt>
          <c:dPt>
            <c:idx val="1"/>
            <c:bubble3D val="0"/>
            <c:spPr>
              <a:solidFill>
                <a:srgbClr val="D36F2B"/>
              </a:solidFill>
            </c:spPr>
          </c:dPt>
          <c:dPt>
            <c:idx val="2"/>
            <c:bubble3D val="0"/>
            <c:spPr>
              <a:solidFill>
                <a:srgbClr val="FFFFCC"/>
              </a:solidFill>
            </c:spPr>
          </c:dPt>
          <c:dPt>
            <c:idx val="3"/>
            <c:bubble3D val="0"/>
            <c:spPr>
              <a:solidFill>
                <a:srgbClr val="CCFFFF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Pt>
            <c:idx val="5"/>
            <c:bubble3D val="0"/>
            <c:spPr>
              <a:solidFill>
                <a:srgbClr val="FF8080"/>
              </a:solidFill>
            </c:spPr>
          </c:dPt>
          <c:dPt>
            <c:idx val="6"/>
            <c:bubble3D val="0"/>
            <c:spPr>
              <a:solidFill>
                <a:srgbClr val="0066CC"/>
              </a:solidFill>
            </c:spPr>
          </c:dPt>
          <c:dPt>
            <c:idx val="7"/>
            <c:bubble3D val="0"/>
            <c:spPr>
              <a:solidFill>
                <a:srgbClr val="CCCCFF"/>
              </a:solidFill>
            </c:spPr>
          </c:dPt>
          <c:dPt>
            <c:idx val="8"/>
            <c:bubble3D val="0"/>
            <c:spPr>
              <a:solidFill>
                <a:srgbClr val="000080"/>
              </a:solidFill>
            </c:spPr>
          </c:dPt>
          <c:dLbls>
            <c:numFmt formatCode="0&quot; h/a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rgbClr val="000000"/>
                    </a:solidFill>
                    <a:ea typeface="Arial"/>
                    <a:cs typeface="Arial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;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BDL!$C$6:$C$14</c:f>
              <c:numCache>
                <c:formatCode>0" h/a"</c:formatCode>
                <c:ptCount val="9"/>
                <c:pt idx="0">
                  <c:v>2160</c:v>
                </c:pt>
                <c:pt idx="1">
                  <c:v>432</c:v>
                </c:pt>
                <c:pt idx="2">
                  <c:v>216</c:v>
                </c:pt>
                <c:pt idx="3">
                  <c:v>216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56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780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/>
          <a:lstStyle/>
          <a:p>
            <a:pPr>
              <a:defRPr sz="1200" b="1">
                <a:solidFill>
                  <a:srgbClr val="000000"/>
                </a:solidFill>
                <a:ea typeface="Arial"/>
                <a:cs typeface="Arial"/>
              </a:defRPr>
            </a:pPr>
            <a:r>
              <a:rPr lang="de-DE"/>
              <a:t>Lohnkosten im Durchschnitt</a:t>
            </a:r>
          </a:p>
        </c:rich>
      </c:tx>
      <c:layout>
        <c:manualLayout>
          <c:xMode val="edge"/>
          <c:yMode val="edge"/>
          <c:x val="0.31229541734860883"/>
          <c:y val="3.5221536735838471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6.6131342062193121E-2"/>
          <c:y val="0.17868760515984294"/>
          <c:w val="0.85213788870703766"/>
          <c:h val="0.75647784632641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BDL!$I$5:$I$5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</a:ln>
          </c:spPr>
          <c:invertIfNegative val="0"/>
          <c:dLbls>
            <c:numFmt formatCode="&quot; &quot;#.##000&quot; &quot;[$€]&quot; &quot;;&quot;-&quot;#.##000&quot; &quot;[$€]&quot; &quot;;&quot; -&quot;#&quot; &quot;[$€]&quot; &quot;;&quot; 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BDL!$H$6:$H$12</c:f>
              <c:strCache>
                <c:ptCount val="7"/>
                <c:pt idx="0">
                  <c:v>Büro</c:v>
                </c:pt>
                <c:pt idx="1">
                  <c:v>Außendienst</c:v>
                </c:pt>
                <c:pt idx="2">
                  <c:v>Kulturarbeiten</c:v>
                </c:pt>
                <c:pt idx="3">
                  <c:v>Endverkauf</c:v>
                </c:pt>
                <c:pt idx="4">
                  <c:v>Dienstleistungen</c:v>
                </c:pt>
                <c:pt idx="5">
                  <c:v>Objektgestaltung</c:v>
                </c:pt>
                <c:pt idx="6">
                  <c:v>0</c:v>
                </c:pt>
              </c:strCache>
            </c:strRef>
          </c:cat>
          <c:val>
            <c:numRef>
              <c:f>BDL!$I$6:$I$12</c:f>
              <c:numCache>
                <c:formatCode>" "#,##0.00" "[$€]" ";"-"#,##0.00" "[$€]" ";" -"#" "[$€]" ";" "@" "</c:formatCode>
                <c:ptCount val="7"/>
                <c:pt idx="0">
                  <c:v>25.523431418792363</c:v>
                </c:pt>
                <c:pt idx="1">
                  <c:v>31.820632678970536</c:v>
                </c:pt>
                <c:pt idx="2">
                  <c:v>17.034284313106877</c:v>
                </c:pt>
                <c:pt idx="3">
                  <c:v>18.672604500566095</c:v>
                </c:pt>
                <c:pt idx="4">
                  <c:v>18.948721778647791</c:v>
                </c:pt>
                <c:pt idx="5">
                  <c:v>20.841020637380044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552240"/>
        <c:axId val="805544008"/>
      </c:barChart>
      <c:valAx>
        <c:axId val="805544008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</a:ln>
          </c:spPr>
        </c:majorGridlines>
        <c:numFmt formatCode="&quot; &quot;#,##0.00&quot; &quot;[$€]&quot; &quot;;&quot;-&quot;#,##0.00&quot; &quot;[$€]&quot; &quot;;&quot; -&quot;#&quot; &quot;[$€]&quot; &quot;;&quot; &quot;@&quot; &quot;" sourceLinked="1"/>
        <c:majorTickMark val="none"/>
        <c:minorTickMark val="none"/>
        <c:tickLblPos val="low"/>
        <c:spPr>
          <a:ln w="3240">
            <a:solidFill>
              <a:srgbClr val="000000"/>
            </a:solidFill>
          </a:ln>
        </c:spPr>
        <c:txPr>
          <a:bodyPr/>
          <a:lstStyle/>
          <a:p>
            <a:pPr>
              <a:defRPr sz="1125" b="0">
                <a:solidFill>
                  <a:srgbClr val="000000"/>
                </a:solidFill>
                <a:ea typeface="Arial"/>
                <a:cs typeface="Arial"/>
              </a:defRPr>
            </a:pPr>
            <a:endParaRPr lang="de-DE"/>
          </a:p>
        </c:txPr>
        <c:crossAx val="805552240"/>
        <c:crossesAt val="0"/>
        <c:crossBetween val="between"/>
      </c:valAx>
      <c:catAx>
        <c:axId val="8055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240">
            <a:solidFill>
              <a:srgbClr val="000000"/>
            </a:solidFill>
          </a:ln>
        </c:spPr>
        <c:txPr>
          <a:bodyPr/>
          <a:lstStyle/>
          <a:p>
            <a:pPr>
              <a:defRPr sz="1125" b="0">
                <a:solidFill>
                  <a:srgbClr val="000000"/>
                </a:solidFill>
                <a:ea typeface="Arial"/>
                <a:cs typeface="Arial"/>
              </a:defRPr>
            </a:pPr>
            <a:endParaRPr lang="de-DE"/>
          </a:p>
        </c:txPr>
        <c:crossAx val="805544008"/>
        <c:crossesAt val="0"/>
        <c:auto val="1"/>
        <c:lblAlgn val="ctr"/>
        <c:lblOffset val="100"/>
        <c:noMultiLvlLbl val="0"/>
      </c:catAx>
      <c:spPr>
        <a:solidFill>
          <a:srgbClr val="C0C0C0"/>
        </a:solidFill>
        <a:ln w="126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240">
          <a:solidFill>
            <a:srgbClr val="000000"/>
          </a:solidFill>
        </a:ln>
      </c:spPr>
      <c:txPr>
        <a:bodyPr/>
        <a:lstStyle/>
        <a:p>
          <a:pPr>
            <a:defRPr sz="825" b="0">
              <a:solidFill>
                <a:srgbClr val="000000"/>
              </a:solidFill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50400</xdr:colOff>
      <xdr:row>26</xdr:row>
      <xdr:rowOff>36720</xdr:rowOff>
    </xdr:from>
    <xdr:ext cx="5087159" cy="3250800"/>
    <xdr:graphicFrame macro="">
      <xdr:nvGraphicFramePr>
        <xdr:cNvPr id="2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591120</xdr:colOff>
      <xdr:row>26</xdr:row>
      <xdr:rowOff>36720</xdr:rowOff>
    </xdr:from>
    <xdr:ext cx="5531760" cy="3266280"/>
    <xdr:graphicFrame macro="">
      <xdr:nvGraphicFramePr>
        <xdr:cNvPr id="3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646560</xdr:colOff>
      <xdr:row>53</xdr:row>
      <xdr:rowOff>158760</xdr:rowOff>
    </xdr:from>
    <xdr:ext cx="4893480" cy="2763720"/>
    <xdr:graphicFrame macro="">
      <xdr:nvGraphicFramePr>
        <xdr:cNvPr id="3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156600</xdr:colOff>
      <xdr:row>53</xdr:row>
      <xdr:rowOff>158760</xdr:rowOff>
    </xdr:from>
    <xdr:ext cx="4701600" cy="2763720"/>
    <xdr:graphicFrame macro="">
      <xdr:nvGraphicFramePr>
        <xdr:cNvPr id="2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17</xdr:row>
      <xdr:rowOff>82800</xdr:rowOff>
    </xdr:from>
    <xdr:ext cx="5495040" cy="3198240"/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479520</xdr:colOff>
      <xdr:row>17</xdr:row>
      <xdr:rowOff>81360</xdr:rowOff>
    </xdr:from>
    <xdr:ext cx="7038360" cy="3209040"/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9</xdr:col>
      <xdr:colOff>91080</xdr:colOff>
      <xdr:row>7</xdr:row>
      <xdr:rowOff>124560</xdr:rowOff>
    </xdr:from>
    <xdr:ext cx="673560" cy="7920"/>
    <xdr:cxnSp macro="">
      <xdr:nvCxnSpPr>
        <xdr:cNvPr id="2" name="Gerade Verbindung mit Pfeil 2"/>
        <xdr:cNvCxnSpPr/>
      </xdr:nvCxnSpPr>
      <xdr:spPr>
        <a:xfrm>
          <a:off x="8739780" y="1625700"/>
          <a:ext cx="673560" cy="7920"/>
        </a:xfrm>
        <a:prstGeom prst="bentConnector3">
          <a:avLst/>
        </a:prstGeom>
        <a:noFill/>
        <a:ln w="22320">
          <a:solidFill>
            <a:srgbClr val="FF0000"/>
          </a:solidFill>
          <a:prstDash val="solid"/>
          <a:round/>
          <a:tailEnd type="arrow"/>
        </a:ln>
      </xdr:spPr>
    </xdr:cxn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/>
  </sheetViews>
  <sheetFormatPr baseColWidth="10" defaultRowHeight="13.8" x14ac:dyDescent="0.25"/>
  <cols>
    <col min="1" max="1" width="7.8984375" customWidth="1"/>
    <col min="2" max="2" width="10.796875" customWidth="1"/>
    <col min="3" max="1024" width="7.8984375" customWidth="1"/>
  </cols>
  <sheetData>
    <row r="1" spans="1:11" s="3" customFormat="1" ht="21" x14ac:dyDescent="0.4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3" spans="1:11" x14ac:dyDescent="0.25">
      <c r="A3" t="s">
        <v>1</v>
      </c>
    </row>
    <row r="4" spans="1:11" x14ac:dyDescent="0.25">
      <c r="B4" t="s">
        <v>2</v>
      </c>
      <c r="C4" t="s">
        <v>3</v>
      </c>
      <c r="D4" t="s">
        <v>4</v>
      </c>
    </row>
    <row r="5" spans="1:11" x14ac:dyDescent="0.25">
      <c r="B5" s="4"/>
      <c r="C5" t="s">
        <v>3</v>
      </c>
      <c r="D5" t="s">
        <v>5</v>
      </c>
    </row>
    <row r="6" spans="1:11" x14ac:dyDescent="0.25">
      <c r="B6" s="5"/>
      <c r="C6" t="s">
        <v>3</v>
      </c>
      <c r="D6" t="s">
        <v>6</v>
      </c>
    </row>
    <row r="7" spans="1:11" x14ac:dyDescent="0.25">
      <c r="B7" s="6"/>
      <c r="C7" t="s">
        <v>3</v>
      </c>
      <c r="D7" t="s">
        <v>7</v>
      </c>
    </row>
    <row r="8" spans="1:11" x14ac:dyDescent="0.25">
      <c r="B8" s="7"/>
      <c r="C8" t="s">
        <v>3</v>
      </c>
      <c r="D8" t="s">
        <v>8</v>
      </c>
    </row>
    <row r="9" spans="1:11" x14ac:dyDescent="0.25">
      <c r="B9" t="e">
        <f>1/0</f>
        <v>#DIV/0!</v>
      </c>
      <c r="C9" t="s">
        <v>3</v>
      </c>
      <c r="D9" t="s">
        <v>9</v>
      </c>
    </row>
    <row r="10" spans="1:11" x14ac:dyDescent="0.25">
      <c r="B10" s="8" t="s">
        <v>10</v>
      </c>
      <c r="C10" t="s">
        <v>3</v>
      </c>
      <c r="D10" t="s">
        <v>11</v>
      </c>
    </row>
    <row r="12" spans="1:11" x14ac:dyDescent="0.25">
      <c r="A12" t="s">
        <v>12</v>
      </c>
    </row>
    <row r="13" spans="1:11" x14ac:dyDescent="0.25">
      <c r="B13" t="s">
        <v>13</v>
      </c>
      <c r="C13" t="s">
        <v>3</v>
      </c>
      <c r="D13" t="s">
        <v>14</v>
      </c>
    </row>
    <row r="14" spans="1:11" x14ac:dyDescent="0.25">
      <c r="B14" t="s">
        <v>15</v>
      </c>
      <c r="C14" t="s">
        <v>3</v>
      </c>
      <c r="D14" t="s">
        <v>16</v>
      </c>
    </row>
    <row r="15" spans="1:11" x14ac:dyDescent="0.25">
      <c r="B15" t="s">
        <v>17</v>
      </c>
      <c r="C15" t="s">
        <v>3</v>
      </c>
      <c r="D15" t="s">
        <v>18</v>
      </c>
    </row>
    <row r="16" spans="1:11" x14ac:dyDescent="0.25">
      <c r="B16" t="s">
        <v>19</v>
      </c>
      <c r="C16" t="s">
        <v>3</v>
      </c>
      <c r="D16" t="s">
        <v>20</v>
      </c>
    </row>
    <row r="17" spans="1:11" x14ac:dyDescent="0.25">
      <c r="B17" t="s">
        <v>21</v>
      </c>
      <c r="C17" t="s">
        <v>3</v>
      </c>
      <c r="D17" t="s">
        <v>22</v>
      </c>
    </row>
    <row r="18" spans="1:11" x14ac:dyDescent="0.25">
      <c r="B18" t="s">
        <v>23</v>
      </c>
      <c r="C18" t="s">
        <v>3</v>
      </c>
      <c r="D18" t="s">
        <v>24</v>
      </c>
    </row>
    <row r="19" spans="1:11" x14ac:dyDescent="0.25">
      <c r="B19" t="s">
        <v>25</v>
      </c>
      <c r="C19" t="s">
        <v>3</v>
      </c>
      <c r="D19" t="s">
        <v>26</v>
      </c>
    </row>
    <row r="20" spans="1:11" x14ac:dyDescent="0.25">
      <c r="B20" t="s">
        <v>27</v>
      </c>
      <c r="C20" t="s">
        <v>3</v>
      </c>
      <c r="D20" t="s">
        <v>28</v>
      </c>
    </row>
    <row r="21" spans="1:11" x14ac:dyDescent="0.25">
      <c r="B21" t="s">
        <v>29</v>
      </c>
      <c r="C21" t="s">
        <v>3</v>
      </c>
      <c r="D21" t="s">
        <v>30</v>
      </c>
    </row>
    <row r="22" spans="1:11" x14ac:dyDescent="0.25">
      <c r="B22" t="s">
        <v>31</v>
      </c>
      <c r="C22" t="s">
        <v>3</v>
      </c>
      <c r="D22" t="s">
        <v>32</v>
      </c>
    </row>
    <row r="23" spans="1:11" x14ac:dyDescent="0.25">
      <c r="B23" t="s">
        <v>33</v>
      </c>
      <c r="C23" t="s">
        <v>3</v>
      </c>
      <c r="D23" t="s">
        <v>34</v>
      </c>
    </row>
    <row r="24" spans="1:11" x14ac:dyDescent="0.25">
      <c r="B24" t="s">
        <v>35</v>
      </c>
      <c r="C24" t="s">
        <v>3</v>
      </c>
      <c r="D24" t="s">
        <v>36</v>
      </c>
    </row>
    <row r="25" spans="1:11" x14ac:dyDescent="0.25">
      <c r="B25" t="s">
        <v>37</v>
      </c>
      <c r="C25" t="s">
        <v>3</v>
      </c>
      <c r="D25" t="s">
        <v>38</v>
      </c>
    </row>
    <row r="26" spans="1:11" x14ac:dyDescent="0.25">
      <c r="B26" t="s">
        <v>39</v>
      </c>
      <c r="C26" t="s">
        <v>3</v>
      </c>
      <c r="D26" t="s">
        <v>40</v>
      </c>
    </row>
    <row r="29" spans="1:11" ht="21" x14ac:dyDescent="0.4">
      <c r="A29" s="1"/>
      <c r="B29" s="1"/>
      <c r="C29" s="2" t="s">
        <v>41</v>
      </c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t="s">
        <v>42</v>
      </c>
      <c r="C30" s="9" t="s">
        <v>43</v>
      </c>
      <c r="D30" s="5"/>
      <c r="E30" s="5"/>
      <c r="F30" s="5"/>
    </row>
    <row r="32" spans="1:11" x14ac:dyDescent="0.25">
      <c r="A32" t="s">
        <v>44</v>
      </c>
      <c r="C32" s="9" t="s">
        <v>45</v>
      </c>
      <c r="D32" s="5"/>
      <c r="E32" s="5"/>
      <c r="F32" s="5"/>
      <c r="G32" s="9"/>
      <c r="H32" s="5"/>
      <c r="I32" s="5"/>
    </row>
    <row r="33" spans="3:9" x14ac:dyDescent="0.25">
      <c r="C33" s="9" t="s">
        <v>46</v>
      </c>
      <c r="D33" s="9"/>
      <c r="E33" s="9"/>
      <c r="F33" s="9"/>
      <c r="G33" s="9"/>
      <c r="H33" s="9"/>
      <c r="I33" s="9"/>
    </row>
    <row r="34" spans="3:9" x14ac:dyDescent="0.25">
      <c r="C34" s="9" t="s">
        <v>47</v>
      </c>
      <c r="D34" s="9"/>
      <c r="E34" s="9"/>
      <c r="F34" s="9"/>
      <c r="G34" s="9"/>
      <c r="H34" s="9"/>
      <c r="I34" s="9"/>
    </row>
    <row r="35" spans="3:9" x14ac:dyDescent="0.25">
      <c r="C35" s="9" t="s">
        <v>48</v>
      </c>
      <c r="D35" s="9"/>
      <c r="E35" s="9"/>
      <c r="F35" s="9"/>
      <c r="G35" s="9"/>
      <c r="H35" s="9"/>
      <c r="I35" s="9"/>
    </row>
    <row r="36" spans="3:9" x14ac:dyDescent="0.25">
      <c r="C36" s="9" t="s">
        <v>49</v>
      </c>
      <c r="D36" s="9"/>
      <c r="E36" s="9"/>
      <c r="F36" s="9"/>
      <c r="G36" s="9"/>
      <c r="H36" s="9"/>
      <c r="I36" s="9"/>
    </row>
    <row r="37" spans="3:9" x14ac:dyDescent="0.25">
      <c r="C37" s="9"/>
      <c r="D37" s="9"/>
      <c r="E37" s="9"/>
      <c r="F37" s="9"/>
      <c r="G37" s="9"/>
      <c r="H37" s="9"/>
      <c r="I37" s="9"/>
    </row>
    <row r="38" spans="3:9" x14ac:dyDescent="0.25">
      <c r="C38" s="9"/>
      <c r="D38" s="9"/>
      <c r="E38" s="9"/>
      <c r="F38" s="9"/>
      <c r="G38" s="9"/>
      <c r="H38" s="9"/>
      <c r="I38" s="9"/>
    </row>
    <row r="39" spans="3:9" x14ac:dyDescent="0.25">
      <c r="C39" s="9"/>
      <c r="D39" s="9"/>
      <c r="E39" s="9"/>
      <c r="F39" s="9"/>
      <c r="G39" s="9"/>
      <c r="H39" s="9"/>
      <c r="I39" s="9"/>
    </row>
    <row r="40" spans="3:9" x14ac:dyDescent="0.25">
      <c r="C40" s="9"/>
      <c r="D40" s="9"/>
      <c r="E40" s="9"/>
      <c r="F40" s="9"/>
      <c r="G40" s="9"/>
      <c r="H40" s="9"/>
      <c r="I40" s="9"/>
    </row>
    <row r="41" spans="3:9" x14ac:dyDescent="0.25">
      <c r="C41" s="9"/>
      <c r="D41" s="9"/>
      <c r="E41" s="9"/>
      <c r="F41" s="9"/>
      <c r="G41" s="9"/>
      <c r="H41" s="9"/>
      <c r="I41" s="9"/>
    </row>
    <row r="42" spans="3:9" x14ac:dyDescent="0.25">
      <c r="C42" s="9"/>
      <c r="D42" s="9"/>
      <c r="E42" s="9"/>
      <c r="F42" s="9"/>
      <c r="G42" s="9"/>
      <c r="H42" s="9"/>
      <c r="I42" s="9"/>
    </row>
  </sheetData>
  <sheetProtection sheet="1" objects="1" scenario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"/>
    </sheetView>
  </sheetViews>
  <sheetFormatPr baseColWidth="10" defaultRowHeight="13.8" x14ac:dyDescent="0.25"/>
  <cols>
    <col min="1" max="1" width="14.296875" customWidth="1"/>
    <col min="2" max="7" width="11.8984375" customWidth="1"/>
    <col min="8" max="1024" width="7.8984375" customWidth="1"/>
  </cols>
  <sheetData>
    <row r="1" spans="1:7" ht="17.399999999999999" x14ac:dyDescent="0.3">
      <c r="A1" s="262" t="s">
        <v>412</v>
      </c>
      <c r="B1" s="215"/>
      <c r="C1" s="215"/>
      <c r="D1" s="215"/>
      <c r="E1" s="215"/>
      <c r="F1" s="215"/>
      <c r="G1" s="215"/>
    </row>
    <row r="2" spans="1:7" x14ac:dyDescent="0.25">
      <c r="A2" t="s">
        <v>413</v>
      </c>
      <c r="B2" s="263" t="s">
        <v>414</v>
      </c>
      <c r="C2" s="263" t="s">
        <v>415</v>
      </c>
      <c r="D2" s="263" t="s">
        <v>416</v>
      </c>
      <c r="E2" s="263"/>
      <c r="F2" s="263"/>
      <c r="G2" s="263"/>
    </row>
    <row r="3" spans="1:7" x14ac:dyDescent="0.25">
      <c r="A3" t="s">
        <v>417</v>
      </c>
      <c r="B3" s="263"/>
      <c r="C3" s="263"/>
      <c r="D3" s="263"/>
      <c r="E3" s="263"/>
      <c r="F3" s="263"/>
      <c r="G3" s="263"/>
    </row>
    <row r="4" spans="1:7" x14ac:dyDescent="0.25">
      <c r="A4" t="s">
        <v>418</v>
      </c>
      <c r="B4" s="263">
        <v>20</v>
      </c>
      <c r="C4" s="263">
        <v>10</v>
      </c>
      <c r="D4" s="263">
        <v>20</v>
      </c>
      <c r="E4" s="263"/>
      <c r="F4" s="263"/>
      <c r="G4" s="263"/>
    </row>
    <row r="5" spans="1:7" x14ac:dyDescent="0.25">
      <c r="A5" t="s">
        <v>419</v>
      </c>
      <c r="B5" s="247">
        <v>5000</v>
      </c>
      <c r="C5" s="247">
        <v>2000</v>
      </c>
      <c r="D5" s="247">
        <v>5000</v>
      </c>
      <c r="E5" s="263"/>
      <c r="F5" s="263"/>
      <c r="G5" s="263"/>
    </row>
    <row r="6" spans="1:7" x14ac:dyDescent="0.25">
      <c r="A6" t="s">
        <v>420</v>
      </c>
    </row>
    <row r="7" spans="1:7" x14ac:dyDescent="0.25">
      <c r="A7" t="s">
        <v>421</v>
      </c>
      <c r="B7" s="264">
        <v>47.7</v>
      </c>
      <c r="C7" s="264">
        <v>29.7</v>
      </c>
      <c r="D7" s="264">
        <v>50.3</v>
      </c>
      <c r="E7" s="263"/>
      <c r="F7" s="263"/>
      <c r="G7" s="263"/>
    </row>
    <row r="8" spans="1:7" x14ac:dyDescent="0.25">
      <c r="A8" t="s">
        <v>422</v>
      </c>
      <c r="B8" s="264">
        <v>13.9</v>
      </c>
      <c r="C8" s="264"/>
      <c r="D8" s="264">
        <v>9.9</v>
      </c>
      <c r="E8" s="263"/>
      <c r="F8" s="263"/>
      <c r="G8" s="263"/>
    </row>
    <row r="9" spans="1:7" x14ac:dyDescent="0.25">
      <c r="A9" t="s">
        <v>423</v>
      </c>
      <c r="B9" s="264">
        <v>30.3</v>
      </c>
      <c r="C9" s="264"/>
      <c r="D9" s="264">
        <v>30.2</v>
      </c>
      <c r="E9" s="263"/>
      <c r="F9" s="263"/>
      <c r="G9" s="263"/>
    </row>
    <row r="10" spans="1:7" x14ac:dyDescent="0.25">
      <c r="A10" t="s">
        <v>424</v>
      </c>
      <c r="B10" s="264">
        <v>9.5</v>
      </c>
      <c r="C10" s="264">
        <v>15.5</v>
      </c>
      <c r="D10" s="264">
        <v>9.5</v>
      </c>
      <c r="E10" s="263"/>
      <c r="F10" s="263"/>
      <c r="G10" s="263"/>
    </row>
    <row r="11" spans="1:7" x14ac:dyDescent="0.25">
      <c r="A11" t="s">
        <v>425</v>
      </c>
      <c r="B11" s="264">
        <v>3.5</v>
      </c>
      <c r="C11" s="264">
        <v>3.5</v>
      </c>
      <c r="D11" s="264">
        <v>3.5</v>
      </c>
      <c r="E11" s="263"/>
      <c r="F11" s="263"/>
      <c r="G11" s="263"/>
    </row>
    <row r="12" spans="1:7" x14ac:dyDescent="0.25">
      <c r="A12" t="s">
        <v>426</v>
      </c>
      <c r="B12" s="264">
        <v>24</v>
      </c>
      <c r="C12" s="264"/>
      <c r="D12" s="264"/>
      <c r="E12" s="263"/>
      <c r="F12" s="263"/>
      <c r="G12" s="263"/>
    </row>
    <row r="13" spans="1:7" x14ac:dyDescent="0.25">
      <c r="A13" t="s">
        <v>427</v>
      </c>
      <c r="B13" s="264">
        <v>3.9</v>
      </c>
      <c r="C13" s="264">
        <v>3.9</v>
      </c>
      <c r="D13" s="264">
        <v>3.9</v>
      </c>
      <c r="E13" s="263"/>
      <c r="F13" s="263"/>
      <c r="G13" s="263"/>
    </row>
    <row r="14" spans="1:7" x14ac:dyDescent="0.25">
      <c r="A14" t="s">
        <v>428</v>
      </c>
      <c r="B14" s="263">
        <v>212</v>
      </c>
      <c r="C14" s="263">
        <v>215</v>
      </c>
      <c r="D14" s="263">
        <v>302</v>
      </c>
      <c r="E14" s="263"/>
      <c r="F14" s="263"/>
      <c r="G14" s="263"/>
    </row>
    <row r="15" spans="1:7" x14ac:dyDescent="0.25">
      <c r="A15" t="s">
        <v>429</v>
      </c>
      <c r="B15" s="265">
        <f t="shared" ref="B15:G15" si="0">B14*B5/1000</f>
        <v>1060</v>
      </c>
      <c r="C15" s="265">
        <f t="shared" si="0"/>
        <v>430</v>
      </c>
      <c r="D15" s="265">
        <f t="shared" si="0"/>
        <v>1510</v>
      </c>
      <c r="E15" s="265">
        <f t="shared" si="0"/>
        <v>0</v>
      </c>
      <c r="F15" s="265">
        <f t="shared" si="0"/>
        <v>0</v>
      </c>
      <c r="G15" s="265">
        <f t="shared" si="0"/>
        <v>0</v>
      </c>
    </row>
    <row r="16" spans="1:7" x14ac:dyDescent="0.25">
      <c r="A16" t="s">
        <v>430</v>
      </c>
      <c r="B16" s="264">
        <v>108.2</v>
      </c>
      <c r="C16" s="264">
        <v>108.2</v>
      </c>
      <c r="D16" s="264">
        <v>108.2</v>
      </c>
      <c r="E16" s="263"/>
      <c r="F16" s="263"/>
      <c r="G16" s="263"/>
    </row>
    <row r="17" spans="1:7" x14ac:dyDescent="0.25">
      <c r="A17" t="s">
        <v>431</v>
      </c>
      <c r="B17" s="266">
        <f t="shared" ref="B17:G17" si="1">IF(B15=0,0,B15*B16*B4/B18)</f>
        <v>114692</v>
      </c>
      <c r="C17" s="266">
        <f t="shared" si="1"/>
        <v>23263</v>
      </c>
      <c r="D17" s="266">
        <f t="shared" si="1"/>
        <v>163382</v>
      </c>
      <c r="E17" s="266">
        <f t="shared" si="1"/>
        <v>0</v>
      </c>
      <c r="F17" s="266">
        <f t="shared" si="1"/>
        <v>0</v>
      </c>
      <c r="G17" s="266">
        <f t="shared" si="1"/>
        <v>0</v>
      </c>
    </row>
    <row r="18" spans="1:7" x14ac:dyDescent="0.25">
      <c r="A18" s="125" t="s">
        <v>418</v>
      </c>
      <c r="B18" s="263">
        <v>20</v>
      </c>
      <c r="C18" s="263">
        <v>20</v>
      </c>
      <c r="D18" s="263">
        <v>20</v>
      </c>
      <c r="E18" s="263"/>
      <c r="F18" s="263"/>
      <c r="G18" s="263"/>
    </row>
    <row r="19" spans="1:7" x14ac:dyDescent="0.25">
      <c r="A19" t="s">
        <v>432</v>
      </c>
      <c r="B19" s="264">
        <v>53.6</v>
      </c>
      <c r="C19" s="264">
        <v>52.3</v>
      </c>
      <c r="D19" s="264">
        <v>39.200000000000003</v>
      </c>
      <c r="E19" s="263"/>
      <c r="F19" s="263"/>
      <c r="G19" s="263"/>
    </row>
    <row r="20" spans="1:7" x14ac:dyDescent="0.25">
      <c r="A20" t="s">
        <v>433</v>
      </c>
      <c r="B20" s="266">
        <f t="shared" ref="B20:G20" si="2">B15*B19</f>
        <v>56816</v>
      </c>
      <c r="C20" s="266">
        <f t="shared" si="2"/>
        <v>22489</v>
      </c>
      <c r="D20" s="266">
        <f t="shared" si="2"/>
        <v>59192.000000000007</v>
      </c>
      <c r="E20" s="266">
        <f t="shared" si="2"/>
        <v>0</v>
      </c>
      <c r="F20" s="266">
        <f t="shared" si="2"/>
        <v>0</v>
      </c>
      <c r="G20" s="266">
        <f t="shared" si="2"/>
        <v>0</v>
      </c>
    </row>
    <row r="21" spans="1:7" x14ac:dyDescent="0.25">
      <c r="A21" s="267" t="s">
        <v>434</v>
      </c>
      <c r="B21" s="268">
        <f t="shared" ref="B21:G21" si="3">SUM(B7:B13)*B5+B17+B20</f>
        <v>835508</v>
      </c>
      <c r="C21" s="268">
        <f t="shared" si="3"/>
        <v>150952</v>
      </c>
      <c r="D21" s="268">
        <f t="shared" si="3"/>
        <v>759074</v>
      </c>
      <c r="E21" s="268">
        <f t="shared" si="3"/>
        <v>0</v>
      </c>
      <c r="F21" s="268">
        <f t="shared" si="3"/>
        <v>0</v>
      </c>
      <c r="G21" s="268">
        <f t="shared" si="3"/>
        <v>0</v>
      </c>
    </row>
  </sheetData>
  <sheetProtection algorithmName="SHA-512" hashValue="9cG/xeqH71aGqpeydoFk6XPglxrRT5IugoTIEcWQiFhpJ8YfVz2EKNWjPgEoF5NFe8SAgazBtN+HnCvsuMiRxQ==" saltValue="DWo3lZq9Q3I1gi+FMDUgXw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workbookViewId="0">
      <selection activeCell="B4" sqref="B4"/>
    </sheetView>
  </sheetViews>
  <sheetFormatPr baseColWidth="10" defaultRowHeight="13.8" x14ac:dyDescent="0.25"/>
  <cols>
    <col min="1" max="1" width="24" customWidth="1"/>
    <col min="2" max="11" width="12.59765625" customWidth="1"/>
    <col min="12" max="1024" width="7.8984375" customWidth="1"/>
  </cols>
  <sheetData>
    <row r="1" spans="1:13" ht="21" x14ac:dyDescent="0.4">
      <c r="A1" s="2" t="s">
        <v>435</v>
      </c>
      <c r="B1" s="250"/>
      <c r="C1" s="250"/>
      <c r="D1" s="250"/>
      <c r="E1" s="144" t="s">
        <v>10</v>
      </c>
      <c r="G1" s="2" t="s">
        <v>436</v>
      </c>
      <c r="H1" s="250"/>
      <c r="I1" s="144"/>
      <c r="J1" s="144" t="s">
        <v>10</v>
      </c>
    </row>
    <row r="2" spans="1:13" x14ac:dyDescent="0.25">
      <c r="A2" s="231"/>
      <c r="B2" s="233" t="s">
        <v>437</v>
      </c>
      <c r="C2" s="233" t="s">
        <v>415</v>
      </c>
      <c r="D2" s="233" t="s">
        <v>416</v>
      </c>
      <c r="E2" s="233"/>
      <c r="G2" s="231"/>
      <c r="H2" s="233" t="s">
        <v>438</v>
      </c>
      <c r="I2" s="233"/>
      <c r="J2" s="233"/>
    </row>
    <row r="3" spans="1:13" x14ac:dyDescent="0.25">
      <c r="A3" s="231" t="s">
        <v>377</v>
      </c>
      <c r="B3" s="269">
        <f>'Planung GHK'!B21</f>
        <v>835508</v>
      </c>
      <c r="C3" s="269">
        <f>'Planung GHK'!C21</f>
        <v>150952</v>
      </c>
      <c r="D3" s="269">
        <f>'Planung GHK'!D21</f>
        <v>759074</v>
      </c>
      <c r="E3" s="269">
        <f>'Planung GHK'!E21</f>
        <v>0</v>
      </c>
      <c r="G3" s="231" t="s">
        <v>377</v>
      </c>
      <c r="H3" s="235">
        <v>119742</v>
      </c>
      <c r="I3" s="235"/>
      <c r="J3" s="235"/>
    </row>
    <row r="4" spans="1:13" x14ac:dyDescent="0.25">
      <c r="A4" s="231" t="s">
        <v>400</v>
      </c>
      <c r="B4" s="251">
        <v>2002</v>
      </c>
      <c r="C4" s="251">
        <v>2009</v>
      </c>
      <c r="D4" s="251">
        <v>1980</v>
      </c>
      <c r="E4" s="251"/>
      <c r="F4" s="270"/>
      <c r="G4" s="231" t="s">
        <v>400</v>
      </c>
      <c r="H4" s="251">
        <v>2020</v>
      </c>
      <c r="I4" s="251"/>
      <c r="J4" s="251"/>
      <c r="K4" s="270"/>
    </row>
    <row r="5" spans="1:13" x14ac:dyDescent="0.25">
      <c r="A5" s="231"/>
      <c r="B5" s="271">
        <f ca="1">TODAY()</f>
        <v>44272</v>
      </c>
      <c r="C5" s="271">
        <f ca="1">TODAY()</f>
        <v>44272</v>
      </c>
      <c r="D5" s="271">
        <f ca="1">TODAY()</f>
        <v>44272</v>
      </c>
      <c r="E5" s="271">
        <f ca="1">TODAY()</f>
        <v>44272</v>
      </c>
      <c r="F5" s="272"/>
      <c r="G5" s="231"/>
      <c r="H5" s="271">
        <f ca="1">TODAY()</f>
        <v>44272</v>
      </c>
      <c r="I5" s="271">
        <f ca="1">TODAY()</f>
        <v>44272</v>
      </c>
      <c r="J5" s="271">
        <f ca="1">TODAY()</f>
        <v>44272</v>
      </c>
      <c r="K5" s="272"/>
    </row>
    <row r="6" spans="1:13" s="276" customFormat="1" ht="13.2" x14ac:dyDescent="0.25">
      <c r="A6" s="273" t="s">
        <v>403</v>
      </c>
      <c r="B6" s="274">
        <f ca="1">IF(YEAR(B5)&gt;(B4+B9),0,B15)</f>
        <v>41775.4</v>
      </c>
      <c r="C6" s="274">
        <f ca="1">IF(YEAR(C5)&gt;(C4+C9),0,C15)</f>
        <v>0</v>
      </c>
      <c r="D6" s="274">
        <f ca="1">IF(YEAR(D5)&gt;(D4+D9),0,D15)</f>
        <v>0</v>
      </c>
      <c r="E6" s="274">
        <f ca="1">IF(YEAR(E5)&gt;(E4+E9),0,E15)</f>
        <v>0</v>
      </c>
      <c r="F6" s="275">
        <f ca="1">SUM(B6:E6)</f>
        <v>41775.4</v>
      </c>
      <c r="G6" s="273" t="s">
        <v>403</v>
      </c>
      <c r="H6" s="274">
        <f ca="1">IF(YEAR(H5)&gt;(H4+H9),0,H15)</f>
        <v>11974.2</v>
      </c>
      <c r="I6" s="274">
        <f ca="1">IF(YEAR(I5)&gt;(I4+I9),0,I15)</f>
        <v>0</v>
      </c>
      <c r="J6" s="274">
        <f ca="1">IF(YEAR(J5)&gt;(J4+J9),0,J15)</f>
        <v>0</v>
      </c>
      <c r="K6" s="274">
        <f ca="1">SUM(H6:J6)</f>
        <v>11974.2</v>
      </c>
      <c r="L6" s="274"/>
      <c r="M6" s="275"/>
    </row>
    <row r="7" spans="1:13" x14ac:dyDescent="0.25">
      <c r="A7" s="231" t="s">
        <v>404</v>
      </c>
      <c r="B7" s="277">
        <f ca="1">IF(B3=0,"",IF(YEAR(B5)-B4&gt;=B9,1,B3-(YEAR(B5)-B4)*B3/B9))</f>
        <v>41775.400000000023</v>
      </c>
      <c r="C7" s="277">
        <f ca="1">IF(C3=0,"",IF(YEAR(C5)-C4&gt;=C9,1,C3-(YEAR(C5)-C4)*C3/C9))</f>
        <v>1</v>
      </c>
      <c r="D7" s="277">
        <f ca="1">IF(D3=0,"",IF(YEAR(D5)-D4&gt;=D9,1,D3-(YEAR(D5)-D4)*D3/D9))</f>
        <v>1</v>
      </c>
      <c r="E7" s="277" t="str">
        <f>IF(E3=0,"",IF(YEAR(E5)-E4&gt;=E9,1,E3-(YEAR(E5)-E4)*E3/E9))</f>
        <v/>
      </c>
      <c r="F7" s="244">
        <f ca="1">SUM(B7:E7)</f>
        <v>41777.400000000023</v>
      </c>
      <c r="G7" s="231" t="s">
        <v>404</v>
      </c>
      <c r="H7" s="277">
        <f ca="1">IF(H3=0,"",IF(YEAR(H5)-H4&gt;=H9,1,H3-(YEAR(H5)-H4)*H3/H9))</f>
        <v>107767.8</v>
      </c>
      <c r="I7" s="277" t="str">
        <f>IF(I3=0,"",IF(YEAR(I5)-I4&gt;=I9,1,I3-(YEAR(I5)-I4)*I3/I9))</f>
        <v/>
      </c>
      <c r="J7" s="277" t="str">
        <f>IF(J3=0,"",IF(YEAR(J5)-J4&gt;=J9,1,J3-(YEAR(J5)-J4)*J3/J9))</f>
        <v/>
      </c>
      <c r="K7" s="244">
        <f ca="1">SUM(H7:J7)</f>
        <v>107767.8</v>
      </c>
    </row>
    <row r="8" spans="1:13" x14ac:dyDescent="0.25">
      <c r="A8" s="231" t="s">
        <v>401</v>
      </c>
      <c r="B8" s="235">
        <v>0</v>
      </c>
      <c r="C8" s="235">
        <v>0</v>
      </c>
      <c r="D8" s="235">
        <v>0</v>
      </c>
      <c r="E8" s="235"/>
      <c r="G8" s="231" t="s">
        <v>401</v>
      </c>
      <c r="H8" s="237"/>
      <c r="I8" s="278"/>
      <c r="J8" s="278"/>
      <c r="K8" s="238">
        <f>SUM(H8:J8)</f>
        <v>0</v>
      </c>
    </row>
    <row r="9" spans="1:13" ht="14.4" customHeight="1" x14ac:dyDescent="0.25">
      <c r="A9" s="231" t="s">
        <v>405</v>
      </c>
      <c r="B9" s="256">
        <v>20</v>
      </c>
      <c r="C9" s="256">
        <v>10</v>
      </c>
      <c r="D9" s="256">
        <v>20</v>
      </c>
      <c r="E9" s="256"/>
      <c r="G9" s="231" t="s">
        <v>405</v>
      </c>
      <c r="H9" s="256">
        <v>10</v>
      </c>
      <c r="I9" s="256"/>
      <c r="J9" s="256"/>
    </row>
    <row r="10" spans="1:13" ht="14.4" customHeight="1" x14ac:dyDescent="0.25">
      <c r="A10" s="231" t="s">
        <v>406</v>
      </c>
      <c r="B10" s="235">
        <v>5000</v>
      </c>
      <c r="C10" s="235"/>
      <c r="D10" s="235">
        <v>5000</v>
      </c>
      <c r="E10" s="235"/>
      <c r="G10" s="231" t="s">
        <v>406</v>
      </c>
      <c r="H10" s="237"/>
      <c r="I10" s="237"/>
      <c r="J10" s="237"/>
    </row>
    <row r="11" spans="1:13" ht="14.4" customHeight="1" x14ac:dyDescent="0.25">
      <c r="A11" s="231" t="s">
        <v>407</v>
      </c>
      <c r="B11" s="239">
        <v>0.02</v>
      </c>
      <c r="C11" s="239">
        <v>0.04</v>
      </c>
      <c r="D11" s="239">
        <v>0.02</v>
      </c>
      <c r="E11" s="239"/>
      <c r="G11" s="231" t="s">
        <v>407</v>
      </c>
      <c r="H11" s="279">
        <v>2E-3</v>
      </c>
      <c r="I11" s="279"/>
      <c r="J11" s="279"/>
    </row>
    <row r="12" spans="1:13" x14ac:dyDescent="0.25">
      <c r="A12" s="231" t="s">
        <v>380</v>
      </c>
      <c r="B12" s="237">
        <v>5000</v>
      </c>
      <c r="C12" s="278">
        <v>2000</v>
      </c>
      <c r="D12" s="278">
        <v>5000</v>
      </c>
      <c r="E12" s="278"/>
      <c r="F12" s="238">
        <f>SUM(B12:E12)</f>
        <v>12000</v>
      </c>
      <c r="G12" s="231" t="s">
        <v>380</v>
      </c>
      <c r="H12" s="237">
        <v>3000</v>
      </c>
      <c r="I12" s="237"/>
      <c r="J12" s="237"/>
      <c r="K12" s="280">
        <f>SUM(H12:J12)</f>
        <v>3000</v>
      </c>
    </row>
    <row r="13" spans="1:13" x14ac:dyDescent="0.25">
      <c r="A13" s="231" t="s">
        <v>381</v>
      </c>
      <c r="B13" s="239">
        <v>0.1</v>
      </c>
      <c r="C13" s="239">
        <v>0.2</v>
      </c>
      <c r="D13" s="239">
        <v>0.3</v>
      </c>
      <c r="E13" s="239"/>
      <c r="G13" s="231" t="s">
        <v>381</v>
      </c>
      <c r="H13" s="281">
        <v>0.34</v>
      </c>
      <c r="I13" s="281"/>
      <c r="J13" s="281"/>
    </row>
    <row r="14" spans="1:13" x14ac:dyDescent="0.25">
      <c r="A14" s="231" t="s">
        <v>439</v>
      </c>
      <c r="B14" s="240">
        <f ca="1">Bilanz!$H$19</f>
        <v>3.6324094616614191E-2</v>
      </c>
      <c r="C14" s="240">
        <f ca="1">Bilanz!$H$19</f>
        <v>3.6324094616614191E-2</v>
      </c>
      <c r="D14" s="240">
        <f ca="1">Bilanz!$H$19</f>
        <v>3.6324094616614191E-2</v>
      </c>
      <c r="E14" s="240">
        <f ca="1">Bilanz!$H$19</f>
        <v>3.6324094616614191E-2</v>
      </c>
      <c r="G14" s="231" t="s">
        <v>439</v>
      </c>
      <c r="H14" s="240">
        <f ca="1">Bilanz!$H$19</f>
        <v>3.6324094616614191E-2</v>
      </c>
      <c r="I14" s="240">
        <f ca="1">Bilanz!$H$19</f>
        <v>3.6324094616614191E-2</v>
      </c>
      <c r="J14" s="240">
        <f ca="1">Bilanz!$H$19</f>
        <v>3.6324094616614191E-2</v>
      </c>
    </row>
    <row r="15" spans="1:13" x14ac:dyDescent="0.25">
      <c r="A15" s="231" t="s">
        <v>408</v>
      </c>
      <c r="B15" s="232">
        <f>IF(B9=0,0,(B3-B8)/B9)</f>
        <v>41775.4</v>
      </c>
      <c r="C15" s="232">
        <f>IF(C9=0,0,(C3-C8)/C9)</f>
        <v>15095.2</v>
      </c>
      <c r="D15" s="232">
        <f>IF(D9=0,0,(D3-D8)/D9)</f>
        <v>37953.699999999997</v>
      </c>
      <c r="E15" s="232">
        <f>IF(E9=0,0,(E3-E8)/E9)</f>
        <v>0</v>
      </c>
      <c r="G15" s="231" t="s">
        <v>408</v>
      </c>
      <c r="H15" s="232">
        <f>IF(H9=0,0,(H3-H8)/H9)</f>
        <v>11974.2</v>
      </c>
      <c r="I15" s="232">
        <f>IF(I9=0,0,(I3-I8)/I9)</f>
        <v>0</v>
      </c>
      <c r="J15" s="232">
        <f>IF(J9=0,0,(J3-J8)/J9)</f>
        <v>0</v>
      </c>
    </row>
    <row r="16" spans="1:13" x14ac:dyDescent="0.25">
      <c r="A16" s="231" t="s">
        <v>383</v>
      </c>
      <c r="B16" s="241">
        <f>B12-(B12*B13)</f>
        <v>4500</v>
      </c>
      <c r="C16" s="241">
        <f>C12-(C12*C13)</f>
        <v>1600</v>
      </c>
      <c r="D16" s="241">
        <f>D12-(D12*D13)</f>
        <v>3500</v>
      </c>
      <c r="E16" s="241">
        <f>E12-(E12*E13)</f>
        <v>0</v>
      </c>
      <c r="G16" s="231" t="s">
        <v>383</v>
      </c>
      <c r="H16" s="241">
        <f>H12-(H12*H13)</f>
        <v>1980</v>
      </c>
      <c r="I16" s="241">
        <f>I12-(I12*I13)</f>
        <v>0</v>
      </c>
      <c r="J16" s="241">
        <f>J12-(J12*J13)</f>
        <v>0</v>
      </c>
    </row>
    <row r="17" spans="1:11" ht="15" customHeight="1" x14ac:dyDescent="0.25">
      <c r="A17" s="231"/>
      <c r="B17" s="232"/>
      <c r="C17" s="232"/>
      <c r="D17" s="232"/>
      <c r="E17" s="232"/>
      <c r="G17" s="231"/>
      <c r="H17" s="232"/>
      <c r="I17" s="232"/>
      <c r="J17" s="232"/>
    </row>
    <row r="18" spans="1:11" x14ac:dyDescent="0.25">
      <c r="A18" s="231" t="s">
        <v>384</v>
      </c>
      <c r="B18" s="232"/>
      <c r="C18" s="232"/>
      <c r="D18" s="232"/>
      <c r="E18" s="232"/>
      <c r="G18" s="231" t="s">
        <v>384</v>
      </c>
      <c r="H18" s="232"/>
      <c r="I18" s="232"/>
      <c r="J18" s="232"/>
    </row>
    <row r="19" spans="1:11" x14ac:dyDescent="0.25">
      <c r="A19" s="231" t="s">
        <v>385</v>
      </c>
      <c r="B19" s="232">
        <f ca="1">(B3+B8)/2*B14</f>
        <v>15174.535822469044</v>
      </c>
      <c r="C19" s="232">
        <f ca="1">(C3+C8)/2*C14</f>
        <v>2741.5973652835728</v>
      </c>
      <c r="D19" s="232">
        <f ca="1">(D3+D8)/2*D14</f>
        <v>13786.337898505901</v>
      </c>
      <c r="E19" s="232">
        <f ca="1">(E3+E8)/2*E14</f>
        <v>0</v>
      </c>
      <c r="G19" s="231" t="s">
        <v>385</v>
      </c>
      <c r="H19" s="232">
        <f ca="1">(H3+H8)/2*H14</f>
        <v>2174.7598687913082</v>
      </c>
      <c r="I19" s="232">
        <f ca="1">(I3+I8)/2*I14</f>
        <v>0</v>
      </c>
      <c r="J19" s="232">
        <f ca="1">(J3+J8)/2*J14</f>
        <v>0</v>
      </c>
    </row>
    <row r="20" spans="1:11" x14ac:dyDescent="0.25">
      <c r="A20" s="231" t="s">
        <v>409</v>
      </c>
      <c r="B20" s="232">
        <f>B15</f>
        <v>41775.4</v>
      </c>
      <c r="C20" s="232">
        <f>C15</f>
        <v>15095.2</v>
      </c>
      <c r="D20" s="232">
        <f>D15</f>
        <v>37953.699999999997</v>
      </c>
      <c r="E20" s="232">
        <f>E15</f>
        <v>0</v>
      </c>
      <c r="F20" s="244">
        <f>SUM(B20:E20)</f>
        <v>94824.3</v>
      </c>
      <c r="G20" s="231" t="s">
        <v>409</v>
      </c>
      <c r="H20" s="232">
        <f>H15</f>
        <v>11974.2</v>
      </c>
      <c r="I20" s="232">
        <f>I15</f>
        <v>0</v>
      </c>
      <c r="J20" s="232">
        <f>J15</f>
        <v>0</v>
      </c>
      <c r="K20" s="244">
        <f>SUM(H20:J20)</f>
        <v>11974.2</v>
      </c>
    </row>
    <row r="21" spans="1:11" x14ac:dyDescent="0.25">
      <c r="A21" s="231" t="s">
        <v>375</v>
      </c>
      <c r="B21" s="232">
        <f ca="1">B12*Boden!$B$27</f>
        <v>582.53305029118417</v>
      </c>
      <c r="C21" s="232">
        <f ca="1">C12*Boden!$B$27</f>
        <v>233.01322011647369</v>
      </c>
      <c r="D21" s="232">
        <f ca="1">D12*Boden!$B$27</f>
        <v>582.53305029118417</v>
      </c>
      <c r="E21" s="232">
        <f ca="1">E12*Boden!$B$27</f>
        <v>0</v>
      </c>
      <c r="G21" s="231" t="s">
        <v>375</v>
      </c>
      <c r="H21" s="232">
        <f ca="1">H12*Boden!$B$27</f>
        <v>349.51983017471053</v>
      </c>
      <c r="I21" s="232">
        <f ca="1">I12*Boden!$B$27</f>
        <v>0</v>
      </c>
      <c r="J21" s="232">
        <f ca="1">J12*Boden!$B$27</f>
        <v>0</v>
      </c>
    </row>
    <row r="22" spans="1:11" x14ac:dyDescent="0.25">
      <c r="A22" s="231" t="s">
        <v>406</v>
      </c>
      <c r="B22" s="232">
        <f>B10</f>
        <v>5000</v>
      </c>
      <c r="C22" s="232">
        <f>C10</f>
        <v>0</v>
      </c>
      <c r="D22" s="232">
        <f>D10</f>
        <v>5000</v>
      </c>
      <c r="E22" s="232">
        <f>E10</f>
        <v>0</v>
      </c>
      <c r="F22" s="244">
        <f>SUM(B22:E22)</f>
        <v>10000</v>
      </c>
      <c r="G22" s="231" t="s">
        <v>406</v>
      </c>
      <c r="H22" s="232">
        <f>H10</f>
        <v>0</v>
      </c>
      <c r="I22" s="232">
        <f>I10</f>
        <v>0</v>
      </c>
      <c r="J22" s="232">
        <f>J10</f>
        <v>0</v>
      </c>
      <c r="K22" s="244">
        <f>SUM(H22:J22)</f>
        <v>0</v>
      </c>
    </row>
    <row r="23" spans="1:11" x14ac:dyDescent="0.25">
      <c r="A23" s="231" t="s">
        <v>410</v>
      </c>
      <c r="B23" s="232">
        <f>B11*B3</f>
        <v>16710.16</v>
      </c>
      <c r="C23" s="232">
        <f>C11*C3</f>
        <v>6038.08</v>
      </c>
      <c r="D23" s="232">
        <f>D11*D3</f>
        <v>15181.48</v>
      </c>
      <c r="E23" s="232">
        <f>E11*E3</f>
        <v>0</v>
      </c>
      <c r="F23" s="244">
        <f>SUM(B23:E23)</f>
        <v>37929.72</v>
      </c>
      <c r="G23" s="231" t="s">
        <v>410</v>
      </c>
      <c r="H23" s="232">
        <f>H11*H3</f>
        <v>239.48400000000001</v>
      </c>
      <c r="I23" s="232">
        <f>I11*I3</f>
        <v>0</v>
      </c>
      <c r="J23" s="232">
        <f>J11*J3</f>
        <v>0</v>
      </c>
      <c r="K23" s="244">
        <f>SUM(H23:J23)</f>
        <v>239.48400000000001</v>
      </c>
    </row>
    <row r="24" spans="1:11" x14ac:dyDescent="0.25">
      <c r="A24" s="231"/>
      <c r="B24" s="232"/>
      <c r="C24" s="232"/>
      <c r="D24" s="232"/>
      <c r="E24" s="232"/>
      <c r="G24" s="231"/>
      <c r="H24" s="232"/>
      <c r="I24" s="232"/>
      <c r="J24" s="232"/>
    </row>
    <row r="25" spans="1:11" x14ac:dyDescent="0.25">
      <c r="A25" s="242" t="s">
        <v>386</v>
      </c>
      <c r="B25" s="243">
        <f ca="1">SUM(B19:B23)</f>
        <v>79242.628872760222</v>
      </c>
      <c r="C25" s="243">
        <f ca="1">SUM(C19:C23)</f>
        <v>24107.890585400048</v>
      </c>
      <c r="D25" s="243">
        <f ca="1">SUM(D19:D23)</f>
        <v>72504.050948797085</v>
      </c>
      <c r="E25" s="260">
        <f ca="1">SUM(E19:E23)</f>
        <v>0</v>
      </c>
      <c r="F25" s="244">
        <f ca="1">SUM(B25:E25)</f>
        <v>175854.57040695735</v>
      </c>
      <c r="G25" s="242" t="s">
        <v>386</v>
      </c>
      <c r="H25" s="243">
        <f ca="1">SUM(H19:H23)</f>
        <v>14737.963698966021</v>
      </c>
      <c r="I25" s="243">
        <f ca="1">SUM(I19:I23)</f>
        <v>0</v>
      </c>
      <c r="J25" s="243">
        <f ca="1">SUM(J19:J23)</f>
        <v>0</v>
      </c>
      <c r="K25" s="244">
        <f ca="1">SUM(G25:J25)</f>
        <v>14737.963698966021</v>
      </c>
    </row>
    <row r="26" spans="1:11" x14ac:dyDescent="0.25">
      <c r="A26" s="242" t="s">
        <v>387</v>
      </c>
      <c r="B26" s="243">
        <f ca="1">IF(B16=0,0,B25/B16)</f>
        <v>17.609473082835606</v>
      </c>
      <c r="C26" s="243">
        <f ca="1">IF(C16=0,0,C25/C16)</f>
        <v>15.06743161587503</v>
      </c>
      <c r="D26" s="243">
        <f ca="1">IF(D16=0,0,D25/D16)</f>
        <v>20.71544312822774</v>
      </c>
      <c r="E26" s="243">
        <f>IF(E16=0,0,E25/E16)</f>
        <v>0</v>
      </c>
      <c r="G26" s="242" t="s">
        <v>387</v>
      </c>
      <c r="H26" s="243">
        <f ca="1">IF(H16=0,0,H25/H16)</f>
        <v>7.4434160095787982</v>
      </c>
      <c r="I26" s="243">
        <f>IF(I16=0,0,I25/I16)</f>
        <v>0</v>
      </c>
      <c r="J26" s="243">
        <f>IF(J16=0,0,J25/J16)</f>
        <v>0</v>
      </c>
    </row>
    <row r="27" spans="1:11" x14ac:dyDescent="0.25">
      <c r="A27" s="245" t="s">
        <v>388</v>
      </c>
      <c r="B27" s="236">
        <f ca="1">B26/52</f>
        <v>0.33864371313145397</v>
      </c>
      <c r="C27" s="236">
        <f ca="1">C26/52</f>
        <v>0.28975830030528904</v>
      </c>
      <c r="D27" s="236">
        <f ca="1">D26/52</f>
        <v>0.39837390631207192</v>
      </c>
      <c r="E27" s="236">
        <f>E26/52</f>
        <v>0</v>
      </c>
      <c r="F27" s="244">
        <f ca="1">SUM(B27:E27)/COUNTIF(B27:E27,"&gt;0")</f>
        <v>0.34225863991627165</v>
      </c>
      <c r="G27" s="245" t="s">
        <v>388</v>
      </c>
      <c r="H27" s="236">
        <f ca="1">H26/52</f>
        <v>0.14314261556882305</v>
      </c>
      <c r="I27" s="236">
        <f>I26/52</f>
        <v>0</v>
      </c>
      <c r="J27" s="236">
        <f>J26/52</f>
        <v>0</v>
      </c>
      <c r="K27" s="244">
        <f ca="1">SUM(G27:J27)/COUNTIF(G27:J27,"&gt;0")</f>
        <v>0.14314261556882305</v>
      </c>
    </row>
    <row r="28" spans="1:11" x14ac:dyDescent="0.25">
      <c r="A28" s="245" t="s">
        <v>389</v>
      </c>
      <c r="B28" s="236">
        <f ca="1">B26/365</f>
        <v>4.824513173379618E-2</v>
      </c>
      <c r="C28" s="236">
        <f ca="1">C26/365</f>
        <v>4.1280634564041178E-2</v>
      </c>
      <c r="D28" s="236">
        <f ca="1">D26/365</f>
        <v>5.6754638707473264E-2</v>
      </c>
      <c r="E28" s="236">
        <f>E26/365</f>
        <v>0</v>
      </c>
      <c r="G28" s="245" t="s">
        <v>389</v>
      </c>
      <c r="H28" s="236">
        <f ca="1">H26/365</f>
        <v>2.0392920574188487E-2</v>
      </c>
      <c r="I28" s="236">
        <f>I26/365</f>
        <v>0</v>
      </c>
      <c r="J28" s="236">
        <f>J26/365</f>
        <v>0</v>
      </c>
    </row>
    <row r="29" spans="1:11" x14ac:dyDescent="0.25">
      <c r="A29" s="139" t="s">
        <v>390</v>
      </c>
      <c r="B29" s="246">
        <v>52</v>
      </c>
      <c r="C29" s="246">
        <v>52</v>
      </c>
      <c r="D29" s="246">
        <v>52</v>
      </c>
      <c r="E29" s="246"/>
      <c r="G29" s="139" t="s">
        <v>390</v>
      </c>
      <c r="H29" s="246">
        <v>10</v>
      </c>
      <c r="I29" s="246"/>
      <c r="J29" s="246"/>
    </row>
    <row r="30" spans="1:11" x14ac:dyDescent="0.25">
      <c r="A30" s="139" t="s">
        <v>391</v>
      </c>
      <c r="B30" s="261">
        <f>B29*7</f>
        <v>364</v>
      </c>
      <c r="C30" s="261">
        <f>C29*7</f>
        <v>364</v>
      </c>
      <c r="D30" s="261">
        <f>D29*7</f>
        <v>364</v>
      </c>
      <c r="E30" s="261">
        <f>E29*7</f>
        <v>0</v>
      </c>
      <c r="G30" s="139" t="s">
        <v>391</v>
      </c>
      <c r="H30" s="261">
        <f>H29*7</f>
        <v>70</v>
      </c>
      <c r="I30" s="261">
        <f>I29*7</f>
        <v>0</v>
      </c>
      <c r="J30" s="261">
        <f>J29*7</f>
        <v>0</v>
      </c>
    </row>
    <row r="31" spans="1:11" x14ac:dyDescent="0.25">
      <c r="A31" t="s">
        <v>392</v>
      </c>
      <c r="B31" s="236">
        <f ca="1">IF(B29=0,0,B26/B29)</f>
        <v>0.33864371313145397</v>
      </c>
      <c r="C31" s="236">
        <f ca="1">IF(C29=0,0,C26/C29)</f>
        <v>0.28975830030528904</v>
      </c>
      <c r="D31" s="236">
        <f ca="1">IF(D29=0,0,D26/D29)</f>
        <v>0.39837390631207192</v>
      </c>
      <c r="E31" s="236">
        <f>IF(E29=0,0,E26/E29)</f>
        <v>0</v>
      </c>
      <c r="G31" t="s">
        <v>392</v>
      </c>
      <c r="H31" s="236">
        <f ca="1">IF(H29=0,0,H26/H29)</f>
        <v>0.74434160095787982</v>
      </c>
      <c r="I31" s="236">
        <f>IF(I29=0,0,I26/I29)</f>
        <v>0</v>
      </c>
      <c r="J31" s="236">
        <f>IF(J29=0,0,J26/J29)</f>
        <v>0</v>
      </c>
    </row>
    <row r="32" spans="1:11" x14ac:dyDescent="0.25">
      <c r="A32" t="s">
        <v>393</v>
      </c>
      <c r="B32" s="236">
        <f ca="1">IF(B30=0,0,B26/B30)</f>
        <v>4.8377673304493427E-2</v>
      </c>
      <c r="C32" s="236">
        <f ca="1">IF(C30=0,0,C26/C30)</f>
        <v>4.139404290075558E-2</v>
      </c>
      <c r="D32" s="236">
        <f ca="1">IF(D30=0,0,D26/D30)</f>
        <v>5.6910558044581706E-2</v>
      </c>
      <c r="E32" s="236">
        <f>IF(E30=0,0,E26/E30)</f>
        <v>0</v>
      </c>
      <c r="G32" t="s">
        <v>393</v>
      </c>
      <c r="H32" s="236">
        <f ca="1">IF(H30=0,0,H26/H30)</f>
        <v>0.10633451442255426</v>
      </c>
      <c r="I32" s="236">
        <f>IF(I30=0,0,I26/I30)</f>
        <v>0</v>
      </c>
      <c r="J32" s="236">
        <f>IF(J30=0,0,J26/J30)</f>
        <v>0</v>
      </c>
    </row>
    <row r="34" spans="1:2" x14ac:dyDescent="0.25">
      <c r="A34" t="s">
        <v>411</v>
      </c>
      <c r="B34" s="21">
        <f>F12+K12</f>
        <v>15000</v>
      </c>
    </row>
  </sheetData>
  <sheetProtection algorithmName="SHA-512" hashValue="67G/CYJ9L1lBJhuTS9kkffzY8uy5XAV53eLwEYnxVOCa/3rAV6vAeBRELld31ndcLEQSC/rli9F/yhYGekvA5A==" saltValue="NSEoMLbArMQPhWw1H8WrpQ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9" sqref="B9"/>
    </sheetView>
  </sheetViews>
  <sheetFormatPr baseColWidth="10" defaultRowHeight="12.75" x14ac:dyDescent="0.25"/>
  <cols>
    <col min="1" max="1" width="25.5" customWidth="1"/>
    <col min="2" max="6" width="11.69921875" style="236" customWidth="1"/>
    <col min="7" max="7" width="11.69921875" style="42" customWidth="1"/>
    <col min="8" max="1024" width="7.8984375" customWidth="1"/>
  </cols>
  <sheetData>
    <row r="1" spans="1:7" ht="22.8" x14ac:dyDescent="0.25">
      <c r="A1" s="282" t="s">
        <v>440</v>
      </c>
      <c r="B1" s="283"/>
      <c r="C1" s="283"/>
      <c r="D1" s="283"/>
      <c r="E1" s="283"/>
      <c r="F1" s="284" t="s">
        <v>10</v>
      </c>
    </row>
    <row r="2" spans="1:7" ht="13.8" x14ac:dyDescent="0.25">
      <c r="A2" s="231"/>
      <c r="B2" s="233" t="s">
        <v>441</v>
      </c>
      <c r="C2" s="233" t="s">
        <v>442</v>
      </c>
      <c r="D2" s="233"/>
      <c r="E2" s="233"/>
      <c r="F2" s="233"/>
      <c r="G2" s="285" t="s">
        <v>282</v>
      </c>
    </row>
    <row r="3" spans="1:7" ht="13.8" x14ac:dyDescent="0.25">
      <c r="A3" s="231" t="s">
        <v>377</v>
      </c>
      <c r="B3" s="235">
        <v>19000</v>
      </c>
      <c r="C3" s="235">
        <v>26000</v>
      </c>
      <c r="D3" s="235"/>
      <c r="E3" s="235"/>
      <c r="F3" s="235"/>
      <c r="G3" s="269"/>
    </row>
    <row r="4" spans="1:7" ht="13.8" x14ac:dyDescent="0.25">
      <c r="A4" s="231" t="s">
        <v>400</v>
      </c>
      <c r="B4" s="251">
        <v>2015</v>
      </c>
      <c r="C4" s="251">
        <v>2005</v>
      </c>
      <c r="D4" s="251"/>
      <c r="E4" s="251"/>
      <c r="F4" s="251"/>
      <c r="G4" s="231"/>
    </row>
    <row r="5" spans="1:7" ht="13.8" x14ac:dyDescent="0.25">
      <c r="A5" s="231" t="s">
        <v>401</v>
      </c>
      <c r="B5" s="235"/>
      <c r="C5" s="235"/>
      <c r="D5" s="235"/>
      <c r="E5" s="235"/>
      <c r="F5" s="235"/>
      <c r="G5" s="231"/>
    </row>
    <row r="6" spans="1:7" ht="12" customHeight="1" x14ac:dyDescent="0.25">
      <c r="A6" s="231" t="s">
        <v>402</v>
      </c>
      <c r="B6" s="252">
        <f ca="1">TODAY()</f>
        <v>44272</v>
      </c>
      <c r="C6" s="252">
        <f ca="1">TODAY()</f>
        <v>44272</v>
      </c>
      <c r="D6" s="252">
        <f ca="1">TODAY()</f>
        <v>44272</v>
      </c>
      <c r="E6" s="252">
        <f ca="1">TODAY()</f>
        <v>44272</v>
      </c>
      <c r="F6" s="252">
        <f ca="1">TODAY()</f>
        <v>44272</v>
      </c>
      <c r="G6" s="286"/>
    </row>
    <row r="7" spans="1:7" ht="13.8" x14ac:dyDescent="0.25">
      <c r="A7" s="273" t="s">
        <v>403</v>
      </c>
      <c r="B7" s="274">
        <f ca="1">IF(YEAR(B6)&gt;(B4+B12),0,B24)</f>
        <v>2375</v>
      </c>
      <c r="C7" s="274">
        <f ca="1">IF(YEAR(C6)&gt;(C4+C12),0,C24)</f>
        <v>0</v>
      </c>
      <c r="D7" s="274">
        <f ca="1">IF(YEAR(D6)&gt;(D4+D12),0,D24)</f>
        <v>0</v>
      </c>
      <c r="E7" s="274">
        <f ca="1">IF(YEAR(E6)&gt;(E4+E12),0,E24)</f>
        <v>0</v>
      </c>
      <c r="F7" s="274">
        <f ca="1">IF(YEAR(F6)&gt;(F4+F12),0,F24)</f>
        <v>0</v>
      </c>
      <c r="G7" s="243">
        <f ca="1">SUM(B7:F7)</f>
        <v>2375</v>
      </c>
    </row>
    <row r="8" spans="1:7" ht="13.8" x14ac:dyDescent="0.25">
      <c r="A8" s="231" t="s">
        <v>404</v>
      </c>
      <c r="B8" s="255">
        <f ca="1">IF(B3=0,"",IF(YEAR(B6)-B4&gt;=B12,1,B3-(YEAR(B6)-B4)*B3/B12))</f>
        <v>4750</v>
      </c>
      <c r="C8" s="255">
        <f ca="1">IF(C3=0,"",IF(YEAR(C6)-C4&gt;=C12,1,C3-(YEAR(C6)-C4)*C3/C12))</f>
        <v>1</v>
      </c>
      <c r="D8" s="255" t="str">
        <f>IF(D3=0,"",IF(YEAR(D6)-D4&gt;=D12,1,D3-(YEAR(D6)-D4)*D3/D12))</f>
        <v/>
      </c>
      <c r="E8" s="255" t="str">
        <f>IF(E3=0,"",IF(YEAR(E6)-E4&gt;=E12,1,E3-(YEAR(E6)-E4)*E3/E12))</f>
        <v/>
      </c>
      <c r="F8" s="255" t="str">
        <f>IF(F3=0,"",IF(YEAR(F6)-F4&gt;=F12,1,F3-(YEAR(F6)-F4)*F3/F12))</f>
        <v/>
      </c>
      <c r="G8" s="287">
        <f ca="1">SUM(B8:F8)</f>
        <v>4751</v>
      </c>
    </row>
    <row r="9" spans="1:7" ht="13.8" x14ac:dyDescent="0.25">
      <c r="A9" s="231" t="s">
        <v>105</v>
      </c>
      <c r="B9" s="235">
        <v>19000</v>
      </c>
      <c r="C9" s="235">
        <v>26000</v>
      </c>
      <c r="D9" s="235"/>
      <c r="E9" s="235"/>
      <c r="F9" s="235"/>
      <c r="G9" s="286"/>
    </row>
    <row r="10" spans="1:7" ht="13.8" x14ac:dyDescent="0.25">
      <c r="A10" s="231" t="s">
        <v>109</v>
      </c>
      <c r="B10" s="288">
        <f>B3-B9</f>
        <v>0</v>
      </c>
      <c r="C10" s="288">
        <f>C3-C9</f>
        <v>0</v>
      </c>
      <c r="D10" s="288">
        <f>D3-D9</f>
        <v>0</v>
      </c>
      <c r="E10" s="288">
        <f>E3-E9</f>
        <v>0</v>
      </c>
      <c r="F10" s="288">
        <f>F3-F9</f>
        <v>0</v>
      </c>
      <c r="G10" s="231"/>
    </row>
    <row r="11" spans="1:7" ht="13.8" x14ac:dyDescent="0.25">
      <c r="A11" s="231" t="s">
        <v>401</v>
      </c>
      <c r="B11" s="235"/>
      <c r="C11" s="235"/>
      <c r="D11" s="235"/>
      <c r="E11" s="235"/>
      <c r="F11" s="235"/>
      <c r="G11" s="286"/>
    </row>
    <row r="12" spans="1:7" ht="14.25" customHeight="1" x14ac:dyDescent="0.25">
      <c r="A12" s="231" t="s">
        <v>405</v>
      </c>
      <c r="B12" s="256">
        <v>8</v>
      </c>
      <c r="C12" s="256">
        <v>12</v>
      </c>
      <c r="D12" s="256"/>
      <c r="E12" s="256"/>
      <c r="F12" s="256"/>
      <c r="G12" s="289"/>
    </row>
    <row r="13" spans="1:7" ht="13.8" x14ac:dyDescent="0.25">
      <c r="A13" s="231" t="s">
        <v>443</v>
      </c>
      <c r="B13" s="290">
        <v>3000</v>
      </c>
      <c r="C13" s="290">
        <v>8000</v>
      </c>
      <c r="D13" s="290"/>
      <c r="E13" s="290"/>
      <c r="F13" s="290"/>
      <c r="G13" s="231"/>
    </row>
    <row r="14" spans="1:7" ht="13.8" x14ac:dyDescent="0.25">
      <c r="A14" s="231" t="s">
        <v>444</v>
      </c>
      <c r="B14" s="290">
        <v>600</v>
      </c>
      <c r="C14" s="290">
        <v>300</v>
      </c>
      <c r="D14" s="290"/>
      <c r="E14" s="290"/>
      <c r="F14" s="290"/>
      <c r="G14" s="289"/>
    </row>
    <row r="15" spans="1:7" s="204" customFormat="1" ht="13.2" x14ac:dyDescent="0.25">
      <c r="A15" s="291" t="s">
        <v>406</v>
      </c>
      <c r="B15" s="292">
        <v>0</v>
      </c>
      <c r="C15" s="292"/>
      <c r="D15" s="292"/>
      <c r="E15" s="292"/>
      <c r="F15" s="292"/>
      <c r="G15" s="293"/>
    </row>
    <row r="16" spans="1:7" ht="13.5" customHeight="1" x14ac:dyDescent="0.25">
      <c r="A16" s="231" t="s">
        <v>445</v>
      </c>
      <c r="B16" s="294">
        <v>8</v>
      </c>
      <c r="C16" s="294"/>
      <c r="D16" s="294"/>
      <c r="E16" s="294"/>
      <c r="F16" s="294"/>
      <c r="G16" s="289"/>
    </row>
    <row r="17" spans="1:7" ht="13.8" x14ac:dyDescent="0.25">
      <c r="A17" s="231" t="s">
        <v>446</v>
      </c>
      <c r="B17" s="295">
        <f ca="1">B16*Gebäude!$B$26</f>
        <v>467.01939349575372</v>
      </c>
      <c r="C17" s="295">
        <f ca="1">C16*Gebäude!$B$26</f>
        <v>0</v>
      </c>
      <c r="D17" s="295">
        <f ca="1">D16*Gebäude!$B$26</f>
        <v>0</v>
      </c>
      <c r="E17" s="295">
        <f ca="1">E16*Gebäude!$B$26</f>
        <v>0</v>
      </c>
      <c r="F17" s="295">
        <f ca="1">F16*Gebäude!$B$26</f>
        <v>0</v>
      </c>
      <c r="G17" s="289"/>
    </row>
    <row r="18" spans="1:7" ht="12.75" customHeight="1" x14ac:dyDescent="0.25">
      <c r="A18" s="231" t="s">
        <v>447</v>
      </c>
      <c r="B18" s="290">
        <v>0.24</v>
      </c>
      <c r="C18" s="290">
        <v>7.5</v>
      </c>
      <c r="D18" s="290"/>
      <c r="E18" s="290"/>
      <c r="F18" s="290"/>
      <c r="G18" s="231"/>
    </row>
    <row r="19" spans="1:7" ht="13.8" x14ac:dyDescent="0.25">
      <c r="A19" s="231" t="s">
        <v>448</v>
      </c>
      <c r="B19" s="235">
        <v>0.25</v>
      </c>
      <c r="C19" s="235">
        <v>0.25</v>
      </c>
      <c r="D19" s="235"/>
      <c r="E19" s="235"/>
      <c r="F19" s="235"/>
      <c r="G19" s="231"/>
    </row>
    <row r="20" spans="1:7" ht="15.75" customHeight="1" x14ac:dyDescent="0.25">
      <c r="A20" s="231" t="s">
        <v>449</v>
      </c>
      <c r="B20" s="296">
        <v>0.01</v>
      </c>
      <c r="C20" s="296">
        <v>0.02</v>
      </c>
      <c r="D20" s="296"/>
      <c r="E20" s="296"/>
      <c r="F20" s="296"/>
      <c r="G20" s="231"/>
    </row>
    <row r="21" spans="1:7" ht="16.5" customHeight="1" x14ac:dyDescent="0.25">
      <c r="A21" s="231" t="s">
        <v>450</v>
      </c>
      <c r="B21" s="235">
        <v>0</v>
      </c>
      <c r="C21" s="235">
        <v>30</v>
      </c>
      <c r="D21" s="235"/>
      <c r="E21" s="235"/>
      <c r="F21" s="235"/>
      <c r="G21" s="231"/>
    </row>
    <row r="22" spans="1:7" ht="12.75" customHeight="1" x14ac:dyDescent="0.25">
      <c r="A22" s="231" t="s">
        <v>439</v>
      </c>
      <c r="B22" s="240">
        <f ca="1">Bilanz!$H$19</f>
        <v>3.6324094616614191E-2</v>
      </c>
      <c r="C22" s="240">
        <f ca="1">Bilanz!$H$19</f>
        <v>3.6324094616614191E-2</v>
      </c>
      <c r="D22" s="240">
        <f ca="1">Bilanz!$H$19</f>
        <v>3.6324094616614191E-2</v>
      </c>
      <c r="E22" s="240">
        <f ca="1">Bilanz!$H$19</f>
        <v>3.6324094616614191E-2</v>
      </c>
      <c r="F22" s="240">
        <f ca="1">Bilanz!$H$19</f>
        <v>3.6324094616614191E-2</v>
      </c>
      <c r="G22" s="231"/>
    </row>
    <row r="23" spans="1:7" ht="13.8" x14ac:dyDescent="0.25">
      <c r="A23" s="231" t="s">
        <v>451</v>
      </c>
      <c r="B23" s="297">
        <f>B13/B12</f>
        <v>375</v>
      </c>
      <c r="C23" s="297">
        <f>C13/C12</f>
        <v>666.66666666666663</v>
      </c>
      <c r="D23" s="297" t="e">
        <f>D13/D12</f>
        <v>#DIV/0!</v>
      </c>
      <c r="E23" s="297" t="e">
        <f>E13/E12</f>
        <v>#DIV/0!</v>
      </c>
      <c r="F23" s="297" t="e">
        <f>F13/F12</f>
        <v>#DIV/0!</v>
      </c>
      <c r="G23" s="298"/>
    </row>
    <row r="24" spans="1:7" ht="12.75" customHeight="1" x14ac:dyDescent="0.25">
      <c r="A24" s="231" t="s">
        <v>452</v>
      </c>
      <c r="B24" s="232">
        <f>(B3-B11)/B12</f>
        <v>2375</v>
      </c>
      <c r="C24" s="232">
        <f>(C3-C11)/C12</f>
        <v>2166.6666666666665</v>
      </c>
      <c r="D24" s="232" t="e">
        <f>(D3-D11)/D12</f>
        <v>#DIV/0!</v>
      </c>
      <c r="E24" s="232" t="e">
        <f>(E3-E11)/E12</f>
        <v>#DIV/0!</v>
      </c>
      <c r="F24" s="232">
        <f>IF(F12=0,0,(F3-F11)/F12)</f>
        <v>0</v>
      </c>
      <c r="G24" s="231"/>
    </row>
    <row r="25" spans="1:7" ht="13.8" x14ac:dyDescent="0.25">
      <c r="A25" s="231" t="s">
        <v>453</v>
      </c>
      <c r="B25" s="232">
        <f>(B3-B11)/B13*B14</f>
        <v>3800</v>
      </c>
      <c r="C25" s="232">
        <f>(C3-C11)/C13*C14</f>
        <v>975</v>
      </c>
      <c r="D25" s="232" t="e">
        <f>(D3-D11)/D13*D14</f>
        <v>#DIV/0!</v>
      </c>
      <c r="E25" s="232" t="e">
        <f>(E3-E11)/E13*E14</f>
        <v>#DIV/0!</v>
      </c>
      <c r="F25" s="232" t="e">
        <f>(F3-F11)/F13*F14</f>
        <v>#DIV/0!</v>
      </c>
      <c r="G25" s="286"/>
    </row>
    <row r="26" spans="1:7" ht="12" customHeight="1" x14ac:dyDescent="0.25">
      <c r="A26" s="231"/>
      <c r="B26" s="232"/>
      <c r="C26" s="232"/>
      <c r="D26" s="232"/>
      <c r="E26" s="232"/>
      <c r="F26" s="232"/>
      <c r="G26" s="231"/>
    </row>
    <row r="27" spans="1:7" ht="13.8" x14ac:dyDescent="0.25">
      <c r="A27" s="231" t="s">
        <v>384</v>
      </c>
      <c r="B27" s="232"/>
      <c r="C27" s="232"/>
      <c r="D27" s="232"/>
      <c r="E27" s="232"/>
      <c r="F27" s="232"/>
      <c r="G27" s="286"/>
    </row>
    <row r="28" spans="1:7" ht="15" customHeight="1" x14ac:dyDescent="0.25">
      <c r="A28" s="231" t="s">
        <v>385</v>
      </c>
      <c r="B28" s="232">
        <f ca="1">(B3+B11)/2*B22</f>
        <v>345.07889885783482</v>
      </c>
      <c r="C28" s="232">
        <f ca="1">(C3+C11)/2*C22</f>
        <v>472.21323001598449</v>
      </c>
      <c r="D28" s="232">
        <f ca="1">(D3+D11)/2*D22</f>
        <v>0</v>
      </c>
      <c r="E28" s="232">
        <f ca="1">(E3+E11)/2*E22</f>
        <v>0</v>
      </c>
      <c r="F28" s="232">
        <f ca="1">(F3+F11)/2*F22</f>
        <v>0</v>
      </c>
      <c r="G28" s="243">
        <f ca="1">SUM(B28:F28)</f>
        <v>817.29212887381937</v>
      </c>
    </row>
    <row r="29" spans="1:7" ht="13.8" x14ac:dyDescent="0.25">
      <c r="A29" s="231" t="s">
        <v>409</v>
      </c>
      <c r="B29" s="232">
        <f>IF(B14&lt;B23,B24,0)</f>
        <v>0</v>
      </c>
      <c r="C29" s="232">
        <f>IF(C14&lt;C23,C24,0)</f>
        <v>2166.6666666666665</v>
      </c>
      <c r="D29" s="232" t="e">
        <f>IF(D14&lt;D23,D24,0)</f>
        <v>#DIV/0!</v>
      </c>
      <c r="E29" s="232" t="e">
        <f>IF(E14&lt;E23,E24,0)</f>
        <v>#DIV/0!</v>
      </c>
      <c r="F29" s="232" t="e">
        <f>IF(F14&lt;F23,F24,0)</f>
        <v>#DIV/0!</v>
      </c>
      <c r="G29" s="231"/>
    </row>
    <row r="30" spans="1:7" ht="12.75" customHeight="1" x14ac:dyDescent="0.25">
      <c r="A30" s="231" t="s">
        <v>406</v>
      </c>
      <c r="B30" s="232">
        <f>B15</f>
        <v>0</v>
      </c>
      <c r="C30" s="232">
        <f>C15</f>
        <v>0</v>
      </c>
      <c r="D30" s="232">
        <f>D15</f>
        <v>0</v>
      </c>
      <c r="E30" s="232">
        <f>E15</f>
        <v>0</v>
      </c>
      <c r="F30" s="232">
        <f>F15</f>
        <v>0</v>
      </c>
      <c r="G30" s="243">
        <f>SUM(B30:F30)</f>
        <v>0</v>
      </c>
    </row>
    <row r="31" spans="1:7" ht="13.8" x14ac:dyDescent="0.25">
      <c r="A31" s="231" t="s">
        <v>446</v>
      </c>
      <c r="B31" s="232">
        <f ca="1">B17</f>
        <v>467.01939349575372</v>
      </c>
      <c r="C31" s="232">
        <f ca="1">C17</f>
        <v>0</v>
      </c>
      <c r="D31" s="232">
        <f ca="1">D17</f>
        <v>0</v>
      </c>
      <c r="E31" s="232">
        <f ca="1">E17</f>
        <v>0</v>
      </c>
      <c r="F31" s="232">
        <f ca="1">F17</f>
        <v>0</v>
      </c>
      <c r="G31" s="286"/>
    </row>
    <row r="32" spans="1:7" ht="13.8" x14ac:dyDescent="0.25">
      <c r="A32" s="232" t="s">
        <v>454</v>
      </c>
      <c r="B32" s="232">
        <f ca="1">SUM(B28:B31)</f>
        <v>812.09829235358848</v>
      </c>
      <c r="C32" s="232">
        <f ca="1">SUM(C28:C31)</f>
        <v>2638.8798966826512</v>
      </c>
      <c r="D32" s="232" t="e">
        <f ca="1">SUM(D28:D31)</f>
        <v>#DIV/0!</v>
      </c>
      <c r="E32" s="232" t="e">
        <f ca="1">SUM(E28:E31)</f>
        <v>#DIV/0!</v>
      </c>
      <c r="F32" s="232" t="e">
        <f ca="1">SUM(F28:F31)</f>
        <v>#DIV/0!</v>
      </c>
      <c r="G32" s="232"/>
    </row>
    <row r="33" spans="1:7" ht="13.8" x14ac:dyDescent="0.25">
      <c r="A33" s="231"/>
      <c r="B33" s="232"/>
      <c r="C33" s="232"/>
      <c r="D33" s="232"/>
      <c r="E33" s="232"/>
      <c r="F33" s="232"/>
      <c r="G33" s="289"/>
    </row>
    <row r="34" spans="1:7" ht="13.8" x14ac:dyDescent="0.25">
      <c r="A34" s="231" t="s">
        <v>455</v>
      </c>
      <c r="B34" s="232"/>
      <c r="C34" s="232"/>
      <c r="D34" s="232"/>
      <c r="E34" s="232"/>
      <c r="F34" s="232"/>
      <c r="G34" s="231"/>
    </row>
    <row r="35" spans="1:7" ht="12.75" customHeight="1" x14ac:dyDescent="0.25">
      <c r="A35" s="231" t="s">
        <v>456</v>
      </c>
      <c r="B35" s="232">
        <f>IF(B14&lt;B23,0,B25)</f>
        <v>3800</v>
      </c>
      <c r="C35" s="232">
        <f>IF(C14&lt;C23,0,C25)</f>
        <v>0</v>
      </c>
      <c r="D35" s="232" t="e">
        <f>IF(D14&lt;D23,0,D25)</f>
        <v>#DIV/0!</v>
      </c>
      <c r="E35" s="232" t="e">
        <f>IF(E14&lt;E23,0,E25)</f>
        <v>#DIV/0!</v>
      </c>
      <c r="F35" s="232" t="e">
        <f>IF(F14&lt;F23,0,F25)</f>
        <v>#DIV/0!</v>
      </c>
      <c r="G35" s="286"/>
    </row>
    <row r="36" spans="1:7" s="8" customFormat="1" ht="13.2" x14ac:dyDescent="0.25">
      <c r="A36" s="299" t="s">
        <v>457</v>
      </c>
      <c r="B36" s="300">
        <f>B18*B19*B14</f>
        <v>36</v>
      </c>
      <c r="C36" s="300">
        <f>C18*C19*C14</f>
        <v>562.5</v>
      </c>
      <c r="D36" s="300">
        <f>D18*D19*D14</f>
        <v>0</v>
      </c>
      <c r="E36" s="300">
        <f>E18*E19*E14</f>
        <v>0</v>
      </c>
      <c r="F36" s="300">
        <f>F18*F19*F14</f>
        <v>0</v>
      </c>
      <c r="G36" s="243">
        <f>SUM(B36:F36)</f>
        <v>598.5</v>
      </c>
    </row>
    <row r="37" spans="1:7" s="8" customFormat="1" ht="13.2" x14ac:dyDescent="0.25">
      <c r="A37" s="299" t="s">
        <v>458</v>
      </c>
      <c r="B37" s="300">
        <f>B21*B14/100</f>
        <v>0</v>
      </c>
      <c r="C37" s="300">
        <f>C21*C14/100</f>
        <v>90</v>
      </c>
      <c r="D37" s="300">
        <f>D21*D14/100</f>
        <v>0</v>
      </c>
      <c r="E37" s="300">
        <f>E21*E14/100</f>
        <v>0</v>
      </c>
      <c r="F37" s="300">
        <f>F21*F14/100</f>
        <v>0</v>
      </c>
      <c r="G37" s="301">
        <f>SUM(B37:F37)</f>
        <v>90</v>
      </c>
    </row>
    <row r="38" spans="1:7" ht="13.8" x14ac:dyDescent="0.25">
      <c r="A38" s="231" t="s">
        <v>410</v>
      </c>
      <c r="B38" s="232">
        <f>B20/100*B14*B3</f>
        <v>1140</v>
      </c>
      <c r="C38" s="232">
        <f>C20/100*C14*C3</f>
        <v>1560.0000000000002</v>
      </c>
      <c r="D38" s="232">
        <f>D20/100*D14*D3</f>
        <v>0</v>
      </c>
      <c r="E38" s="232">
        <f>E20/100*E14*E3</f>
        <v>0</v>
      </c>
      <c r="F38" s="232">
        <f>F20/100*F14*F3</f>
        <v>0</v>
      </c>
      <c r="G38" s="301">
        <f>SUM(B38:F38)</f>
        <v>2700</v>
      </c>
    </row>
    <row r="39" spans="1:7" ht="13.8" x14ac:dyDescent="0.25">
      <c r="A39" s="231" t="s">
        <v>459</v>
      </c>
      <c r="B39" s="232">
        <f>SUM(B35:B38)</f>
        <v>4976</v>
      </c>
      <c r="C39" s="232">
        <f>SUM(C35:C38)</f>
        <v>2212.5</v>
      </c>
      <c r="D39" s="232" t="e">
        <f>SUM(D35:D38)</f>
        <v>#DIV/0!</v>
      </c>
      <c r="E39" s="232" t="e">
        <f>SUM(E35:E38)</f>
        <v>#DIV/0!</v>
      </c>
      <c r="F39" s="232" t="e">
        <f>SUM(F35:F38)</f>
        <v>#DIV/0!</v>
      </c>
    </row>
    <row r="40" spans="1:7" ht="13.8" x14ac:dyDescent="0.25">
      <c r="A40" s="231"/>
      <c r="B40" s="232"/>
      <c r="C40" s="232"/>
      <c r="D40" s="232"/>
      <c r="E40" s="232"/>
      <c r="F40" s="232"/>
    </row>
    <row r="41" spans="1:7" ht="13.8" x14ac:dyDescent="0.25">
      <c r="A41" s="242" t="s">
        <v>386</v>
      </c>
      <c r="B41" s="243">
        <f ca="1">B32+B39</f>
        <v>5788.0982923535885</v>
      </c>
      <c r="C41" s="243">
        <f ca="1">C32+C39</f>
        <v>4851.3798966826507</v>
      </c>
      <c r="D41" s="243" t="e">
        <f ca="1">D32+D39</f>
        <v>#DIV/0!</v>
      </c>
      <c r="E41" s="243" t="e">
        <f ca="1">E32+E39</f>
        <v>#DIV/0!</v>
      </c>
      <c r="F41" s="243" t="e">
        <f ca="1">F32+F39</f>
        <v>#DIV/0!</v>
      </c>
      <c r="G41" s="302"/>
    </row>
    <row r="42" spans="1:7" ht="13.8" x14ac:dyDescent="0.25">
      <c r="A42" s="242" t="s">
        <v>460</v>
      </c>
      <c r="B42" s="243">
        <f ca="1">B41/B14</f>
        <v>9.6468304872559809</v>
      </c>
      <c r="C42" s="243">
        <f ca="1">C41/C14</f>
        <v>16.171266322275503</v>
      </c>
      <c r="D42" s="243" t="e">
        <f ca="1">D41/D14</f>
        <v>#DIV/0!</v>
      </c>
      <c r="E42" s="243" t="e">
        <f ca="1">E41/E14</f>
        <v>#DIV/0!</v>
      </c>
      <c r="F42" s="243" t="e">
        <f ca="1">F41/F14</f>
        <v>#DIV/0!</v>
      </c>
      <c r="G42" s="302"/>
    </row>
    <row r="43" spans="1:7" ht="13.8" x14ac:dyDescent="0.25">
      <c r="A43" s="231"/>
      <c r="B43" s="232"/>
      <c r="C43" s="232"/>
      <c r="D43" s="232"/>
      <c r="E43" s="232"/>
      <c r="F43" s="232"/>
      <c r="G43" s="302"/>
    </row>
  </sheetData>
  <sheetProtection algorithmName="SHA-512" hashValue="E9kdxbpIB3tPUtcF9lnvMWMI5Is7RlQcYriq8+MkXCSz6jFZXz110x9eGcTUPlaVIfVgroFuJwkCbcdVwtudHw==" saltValue="r8zy/MYyhdFh/JPtW4AurQ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2" sqref="B2"/>
    </sheetView>
  </sheetViews>
  <sheetFormatPr baseColWidth="10" defaultRowHeight="12.75" x14ac:dyDescent="0.25"/>
  <cols>
    <col min="1" max="1" width="25.5" customWidth="1"/>
    <col min="2" max="6" width="12.3984375" style="236" customWidth="1"/>
    <col min="7" max="7" width="12.3984375" style="42" customWidth="1"/>
    <col min="8" max="1024" width="7.8984375" customWidth="1"/>
  </cols>
  <sheetData>
    <row r="1" spans="1:7" ht="22.8" x14ac:dyDescent="0.25">
      <c r="A1" s="282" t="s">
        <v>33</v>
      </c>
      <c r="B1" s="283"/>
      <c r="C1" s="283"/>
      <c r="D1" s="283"/>
      <c r="E1" s="283"/>
      <c r="F1" s="284" t="s">
        <v>10</v>
      </c>
    </row>
    <row r="2" spans="1:7" ht="13.8" x14ac:dyDescent="0.25">
      <c r="A2" s="231"/>
      <c r="B2" s="233" t="s">
        <v>461</v>
      </c>
      <c r="C2" s="233" t="s">
        <v>462</v>
      </c>
      <c r="D2" s="233" t="s">
        <v>463</v>
      </c>
      <c r="E2" s="233"/>
      <c r="F2" s="233"/>
      <c r="G2" s="285" t="s">
        <v>282</v>
      </c>
    </row>
    <row r="3" spans="1:7" ht="13.8" x14ac:dyDescent="0.25">
      <c r="A3" s="231" t="s">
        <v>377</v>
      </c>
      <c r="B3" s="235">
        <v>60000</v>
      </c>
      <c r="C3" s="235">
        <v>45000</v>
      </c>
      <c r="D3" s="235">
        <v>8500</v>
      </c>
      <c r="E3" s="235"/>
      <c r="F3" s="235"/>
      <c r="G3" s="269"/>
    </row>
    <row r="4" spans="1:7" ht="13.8" x14ac:dyDescent="0.25">
      <c r="A4" s="231" t="s">
        <v>400</v>
      </c>
      <c r="B4" s="251">
        <v>2015</v>
      </c>
      <c r="C4" s="251">
        <v>2018</v>
      </c>
      <c r="D4" s="251">
        <v>2000</v>
      </c>
      <c r="E4" s="251"/>
      <c r="F4" s="251"/>
      <c r="G4" s="231"/>
    </row>
    <row r="5" spans="1:7" ht="13.8" x14ac:dyDescent="0.25">
      <c r="A5" s="231" t="s">
        <v>401</v>
      </c>
      <c r="B5" s="235">
        <v>12500</v>
      </c>
      <c r="C5" s="235">
        <v>8000</v>
      </c>
      <c r="D5" s="235">
        <v>0</v>
      </c>
      <c r="E5" s="235"/>
      <c r="F5" s="235"/>
      <c r="G5" s="231"/>
    </row>
    <row r="6" spans="1:7" ht="12" customHeight="1" x14ac:dyDescent="0.25">
      <c r="A6" s="231" t="s">
        <v>402</v>
      </c>
      <c r="B6" s="252">
        <f ca="1">TODAY()</f>
        <v>44272</v>
      </c>
      <c r="C6" s="252">
        <f ca="1">TODAY()</f>
        <v>44272</v>
      </c>
      <c r="D6" s="252">
        <f ca="1">TODAY()</f>
        <v>44272</v>
      </c>
      <c r="E6" s="252">
        <f ca="1">TODAY()</f>
        <v>44272</v>
      </c>
      <c r="F6" s="252">
        <f ca="1">TODAY()</f>
        <v>44272</v>
      </c>
      <c r="G6" s="286"/>
    </row>
    <row r="7" spans="1:7" ht="13.8" x14ac:dyDescent="0.25">
      <c r="A7" s="273" t="s">
        <v>403</v>
      </c>
      <c r="B7" s="274">
        <f ca="1">IF(YEAR(B6)&gt;(B4+B12),0,B24)</f>
        <v>8666.6666666666661</v>
      </c>
      <c r="C7" s="274">
        <f ca="1">IF(YEAR(C6)&gt;(C4+C12),0,C24)</f>
        <v>9000</v>
      </c>
      <c r="D7" s="274">
        <f ca="1">IF(YEAR(D6)&gt;(D4+D12),0,D24)</f>
        <v>0</v>
      </c>
      <c r="E7" s="274">
        <f ca="1">IF(YEAR(E6)&gt;(E4+E12),0,E24)</f>
        <v>0</v>
      </c>
      <c r="F7" s="274">
        <f ca="1">IF(YEAR(F6)&gt;(F4+F12),0,F24)</f>
        <v>0</v>
      </c>
      <c r="G7" s="243">
        <f ca="1">SUM(B7:F7)</f>
        <v>17666.666666666664</v>
      </c>
    </row>
    <row r="8" spans="1:7" ht="13.8" x14ac:dyDescent="0.25">
      <c r="A8" s="231" t="s">
        <v>404</v>
      </c>
      <c r="B8" s="255">
        <f ca="1">IF(B3=0,"",IF(YEAR(B6)-B4&gt;=B12,1,B3-(YEAR(B6)-B4)*B3/B12))</f>
        <v>1</v>
      </c>
      <c r="C8" s="255">
        <f ca="1">IF(C3=0,"",IF(YEAR(C6)-C4&gt;=C12,1,C3-(YEAR(C6)-C4)*C3/C12))</f>
        <v>18000</v>
      </c>
      <c r="D8" s="255">
        <f ca="1">IF(D3=0,"",IF(YEAR(D6)-D4&gt;=D12,1,D3-(YEAR(D6)-D4)*D3/D12))</f>
        <v>1</v>
      </c>
      <c r="E8" s="255" t="str">
        <f>IF(E3=0,"",IF(YEAR(E6)-E4&gt;=E12,1,E3-(YEAR(E6)-E4)*E3/E12))</f>
        <v/>
      </c>
      <c r="F8" s="255" t="str">
        <f>IF(F3=0,"",IF(YEAR(F6)-F4&gt;=F12,1,F3-(YEAR(F6)-F4)*F3/F12))</f>
        <v/>
      </c>
      <c r="G8" s="243">
        <f ca="1">SUM(B8:F8)</f>
        <v>18002</v>
      </c>
    </row>
    <row r="9" spans="1:7" ht="13.8" x14ac:dyDescent="0.25">
      <c r="A9" s="231" t="s">
        <v>105</v>
      </c>
      <c r="B9" s="235">
        <v>30000</v>
      </c>
      <c r="C9" s="235">
        <v>40000</v>
      </c>
      <c r="D9" s="235">
        <v>8500</v>
      </c>
      <c r="E9" s="235"/>
      <c r="F9" s="235"/>
      <c r="G9" s="231"/>
    </row>
    <row r="10" spans="1:7" ht="13.8" x14ac:dyDescent="0.25">
      <c r="A10" s="231" t="s">
        <v>109</v>
      </c>
      <c r="B10" s="288">
        <f>B3-B9</f>
        <v>30000</v>
      </c>
      <c r="C10" s="288">
        <f>C3-C9</f>
        <v>5000</v>
      </c>
      <c r="D10" s="288">
        <f>D3-D9</f>
        <v>0</v>
      </c>
      <c r="E10" s="288">
        <f>E3-E9</f>
        <v>0</v>
      </c>
      <c r="F10" s="288">
        <f>F3-F9</f>
        <v>0</v>
      </c>
      <c r="G10" s="231"/>
    </row>
    <row r="11" spans="1:7" ht="13.8" x14ac:dyDescent="0.25">
      <c r="A11" s="231" t="s">
        <v>401</v>
      </c>
      <c r="B11" s="235">
        <v>8000</v>
      </c>
      <c r="C11" s="235"/>
      <c r="D11" s="235">
        <v>0</v>
      </c>
      <c r="E11" s="235"/>
      <c r="F11" s="235"/>
      <c r="G11" s="286"/>
    </row>
    <row r="12" spans="1:7" ht="13.8" x14ac:dyDescent="0.25">
      <c r="A12" s="231" t="s">
        <v>405</v>
      </c>
      <c r="B12" s="256">
        <v>6</v>
      </c>
      <c r="C12" s="256">
        <v>5</v>
      </c>
      <c r="D12" s="256">
        <v>10</v>
      </c>
      <c r="E12" s="256"/>
      <c r="F12" s="256"/>
      <c r="G12" s="286"/>
    </row>
    <row r="13" spans="1:7" ht="14.25" customHeight="1" x14ac:dyDescent="0.25">
      <c r="A13" s="231" t="s">
        <v>464</v>
      </c>
      <c r="B13" s="303">
        <v>1600</v>
      </c>
      <c r="C13" s="303">
        <v>2000</v>
      </c>
      <c r="D13" s="303">
        <v>2000</v>
      </c>
      <c r="E13" s="303"/>
      <c r="F13" s="303"/>
      <c r="G13" s="231"/>
    </row>
    <row r="14" spans="1:7" ht="13.8" x14ac:dyDescent="0.25">
      <c r="A14" s="231" t="s">
        <v>465</v>
      </c>
      <c r="B14" s="303">
        <v>200</v>
      </c>
      <c r="C14" s="303">
        <v>150</v>
      </c>
      <c r="D14" s="303">
        <v>150</v>
      </c>
      <c r="E14" s="303"/>
      <c r="F14" s="303"/>
      <c r="G14" s="286"/>
    </row>
    <row r="15" spans="1:7" ht="13.8" x14ac:dyDescent="0.25">
      <c r="A15" s="231" t="s">
        <v>406</v>
      </c>
      <c r="B15" s="235">
        <v>800</v>
      </c>
      <c r="C15" s="235">
        <v>500</v>
      </c>
      <c r="D15" s="235">
        <v>40</v>
      </c>
      <c r="E15" s="235"/>
      <c r="F15" s="235"/>
      <c r="G15" s="243">
        <f>SUM(B15:F15)</f>
        <v>1340</v>
      </c>
    </row>
    <row r="16" spans="1:7" s="204" customFormat="1" ht="13.2" x14ac:dyDescent="0.25">
      <c r="A16" s="291" t="s">
        <v>445</v>
      </c>
      <c r="B16" s="304">
        <v>0</v>
      </c>
      <c r="C16" s="304"/>
      <c r="D16" s="304"/>
      <c r="E16" s="304"/>
      <c r="F16" s="304"/>
      <c r="G16" s="291"/>
    </row>
    <row r="17" spans="1:7" ht="13.5" customHeight="1" x14ac:dyDescent="0.25">
      <c r="A17" s="231" t="s">
        <v>446</v>
      </c>
      <c r="B17" s="295">
        <f ca="1">B16*Gebäude!$B$26</f>
        <v>0</v>
      </c>
      <c r="C17" s="295">
        <f ca="1">C16*Gebäude!$B$26</f>
        <v>0</v>
      </c>
      <c r="D17" s="295">
        <f ca="1">D16*Gebäude!$B$26</f>
        <v>0</v>
      </c>
      <c r="E17" s="295">
        <f ca="1">E16*Gebäude!$B$26</f>
        <v>0</v>
      </c>
      <c r="F17" s="295">
        <f ca="1">F16*Gebäude!$B$26</f>
        <v>0</v>
      </c>
      <c r="G17" s="289"/>
    </row>
    <row r="18" spans="1:7" ht="13.8" x14ac:dyDescent="0.25">
      <c r="A18" s="231" t="s">
        <v>447</v>
      </c>
      <c r="B18" s="290">
        <v>12</v>
      </c>
      <c r="C18" s="290">
        <v>8.5</v>
      </c>
      <c r="D18" s="290"/>
      <c r="E18" s="290"/>
      <c r="F18" s="290"/>
      <c r="G18" s="231"/>
    </row>
    <row r="19" spans="1:7" ht="12.75" customHeight="1" x14ac:dyDescent="0.25">
      <c r="A19" s="231" t="s">
        <v>448</v>
      </c>
      <c r="B19" s="235">
        <v>1.1100000000000001</v>
      </c>
      <c r="C19" s="235">
        <v>1.1100000000000001</v>
      </c>
      <c r="D19" s="235"/>
      <c r="E19" s="235"/>
      <c r="F19" s="235"/>
      <c r="G19" s="289"/>
    </row>
    <row r="20" spans="1:7" ht="13.8" x14ac:dyDescent="0.25">
      <c r="A20" s="231" t="s">
        <v>449</v>
      </c>
      <c r="B20" s="305">
        <v>1.4999999999999999E-2</v>
      </c>
      <c r="C20" s="296">
        <v>0.02</v>
      </c>
      <c r="D20" s="296">
        <v>0.02</v>
      </c>
      <c r="E20" s="296"/>
      <c r="F20" s="296"/>
      <c r="G20" s="231"/>
    </row>
    <row r="21" spans="1:7" ht="15.75" customHeight="1" x14ac:dyDescent="0.25">
      <c r="A21" s="231" t="s">
        <v>450</v>
      </c>
      <c r="B21" s="306">
        <v>350</v>
      </c>
      <c r="C21" s="235">
        <v>150</v>
      </c>
      <c r="D21" s="235">
        <v>75</v>
      </c>
      <c r="E21" s="235"/>
      <c r="F21" s="235"/>
      <c r="G21" s="231"/>
    </row>
    <row r="22" spans="1:7" ht="16.5" customHeight="1" x14ac:dyDescent="0.25">
      <c r="A22" s="231" t="s">
        <v>439</v>
      </c>
      <c r="B22" s="240">
        <f ca="1">Bilanz!$H$19</f>
        <v>3.6324094616614191E-2</v>
      </c>
      <c r="C22" s="240">
        <f ca="1">Bilanz!$H$19</f>
        <v>3.6324094616614191E-2</v>
      </c>
      <c r="D22" s="240">
        <f ca="1">Bilanz!$H$19</f>
        <v>3.6324094616614191E-2</v>
      </c>
      <c r="E22" s="240">
        <f ca="1">Bilanz!$H$19</f>
        <v>3.6324094616614191E-2</v>
      </c>
      <c r="F22" s="240">
        <f ca="1">Bilanz!$H$19</f>
        <v>3.6324094616614191E-2</v>
      </c>
      <c r="G22" s="231"/>
    </row>
    <row r="23" spans="1:7" ht="12.75" customHeight="1" x14ac:dyDescent="0.25">
      <c r="A23" s="231" t="s">
        <v>451</v>
      </c>
      <c r="B23" s="298">
        <f>B13/B12</f>
        <v>266.66666666666669</v>
      </c>
      <c r="C23" s="298">
        <f>C13/C12</f>
        <v>400</v>
      </c>
      <c r="D23" s="298">
        <f>D13/D12</f>
        <v>200</v>
      </c>
      <c r="E23" s="298" t="e">
        <f>E13/E12</f>
        <v>#DIV/0!</v>
      </c>
      <c r="F23" s="298" t="e">
        <f>F13/F12</f>
        <v>#DIV/0!</v>
      </c>
      <c r="G23" s="298"/>
    </row>
    <row r="24" spans="1:7" ht="13.8" x14ac:dyDescent="0.25">
      <c r="A24" s="231" t="s">
        <v>452</v>
      </c>
      <c r="B24" s="232">
        <f>IF(B12=0,0,(B3-B11)/B12)</f>
        <v>8666.6666666666661</v>
      </c>
      <c r="C24" s="232">
        <f>IF(C12=0,0,(C3-C11)/C12)</f>
        <v>9000</v>
      </c>
      <c r="D24" s="232">
        <f>IF(D12=0,0,(D3-D11)/D12)</f>
        <v>850</v>
      </c>
      <c r="E24" s="232">
        <f>IF(E12=0,0,(E3-E11)/E12)</f>
        <v>0</v>
      </c>
      <c r="F24" s="232">
        <f>IF(F12=0,0,(F3-F11)/F12)</f>
        <v>0</v>
      </c>
      <c r="G24" s="243">
        <f>SUM(B24:F24)</f>
        <v>18516.666666666664</v>
      </c>
    </row>
    <row r="25" spans="1:7" ht="12.75" customHeight="1" x14ac:dyDescent="0.25">
      <c r="A25" s="231" t="s">
        <v>453</v>
      </c>
      <c r="B25" s="232">
        <f>(B3-B11)/B13*B14</f>
        <v>6500</v>
      </c>
      <c r="C25" s="232">
        <f>(C3-C11)/C13*C14</f>
        <v>3375</v>
      </c>
      <c r="D25" s="232">
        <f>(D3-D11)/D13*D14</f>
        <v>637.5</v>
      </c>
      <c r="E25" s="232" t="e">
        <f>(E3-E11)/E13*E14</f>
        <v>#DIV/0!</v>
      </c>
      <c r="F25" s="232" t="e">
        <f>(F3-F11)/F13*F14</f>
        <v>#DIV/0!</v>
      </c>
      <c r="G25" s="286"/>
    </row>
    <row r="26" spans="1:7" ht="13.8" x14ac:dyDescent="0.25">
      <c r="A26" s="231"/>
      <c r="B26" s="232"/>
      <c r="C26" s="232"/>
      <c r="D26" s="232"/>
      <c r="E26" s="232"/>
      <c r="F26" s="232"/>
      <c r="G26" s="231"/>
    </row>
    <row r="27" spans="1:7" ht="12" customHeight="1" x14ac:dyDescent="0.25">
      <c r="A27" s="231" t="s">
        <v>384</v>
      </c>
      <c r="B27" s="232"/>
      <c r="C27" s="232"/>
      <c r="D27" s="232"/>
      <c r="E27" s="232"/>
      <c r="F27" s="232"/>
      <c r="G27" s="286"/>
    </row>
    <row r="28" spans="1:7" ht="13.8" x14ac:dyDescent="0.25">
      <c r="A28" s="231" t="s">
        <v>385</v>
      </c>
      <c r="B28" s="232">
        <f ca="1">(B3+B11)/2*B22</f>
        <v>1235.0192169648826</v>
      </c>
      <c r="C28" s="232">
        <f ca="1">(C3+C11)/2*C22</f>
        <v>817.29212887381925</v>
      </c>
      <c r="D28" s="232">
        <f ca="1">(D3+D11)/2*D22</f>
        <v>154.37740212061033</v>
      </c>
      <c r="E28" s="232">
        <f ca="1">(E3+E11)/2*E22</f>
        <v>0</v>
      </c>
      <c r="F28" s="232">
        <f ca="1">(F3+F11)/2*F22</f>
        <v>0</v>
      </c>
      <c r="G28" s="243">
        <f ca="1">SUM(B28:F28)</f>
        <v>2206.6887479593124</v>
      </c>
    </row>
    <row r="29" spans="1:7" ht="15" customHeight="1" x14ac:dyDescent="0.25">
      <c r="A29" s="231" t="s">
        <v>409</v>
      </c>
      <c r="B29" s="232">
        <f>IF(B14&lt;B23,B24,0)</f>
        <v>8666.6666666666661</v>
      </c>
      <c r="C29" s="232">
        <f>IF(C14&lt;C23,C24,0)</f>
        <v>9000</v>
      </c>
      <c r="D29" s="232">
        <f>IF(D14&lt;D23,D24,0)</f>
        <v>850</v>
      </c>
      <c r="E29" s="232" t="e">
        <f>IF(E14&lt;E23,E24,0)</f>
        <v>#DIV/0!</v>
      </c>
      <c r="F29" s="232" t="e">
        <f>IF(F14&lt;F23,F24,0)</f>
        <v>#DIV/0!</v>
      </c>
      <c r="G29" s="231"/>
    </row>
    <row r="30" spans="1:7" ht="13.8" x14ac:dyDescent="0.25">
      <c r="A30" s="231" t="s">
        <v>406</v>
      </c>
      <c r="B30" s="232">
        <f>B15</f>
        <v>800</v>
      </c>
      <c r="C30" s="232">
        <f>C15</f>
        <v>500</v>
      </c>
      <c r="D30" s="232">
        <f>D15</f>
        <v>40</v>
      </c>
      <c r="E30" s="232">
        <f>E15</f>
        <v>0</v>
      </c>
      <c r="F30" s="232">
        <f>F15</f>
        <v>0</v>
      </c>
      <c r="G30" s="243">
        <f>SUM(B30:F30)</f>
        <v>1340</v>
      </c>
    </row>
    <row r="31" spans="1:7" ht="12.75" customHeight="1" x14ac:dyDescent="0.25">
      <c r="A31" s="231" t="s">
        <v>446</v>
      </c>
      <c r="B31" s="232">
        <f ca="1">B17</f>
        <v>0</v>
      </c>
      <c r="C31" s="232">
        <f ca="1">C17</f>
        <v>0</v>
      </c>
      <c r="D31" s="232">
        <f ca="1">D17</f>
        <v>0</v>
      </c>
      <c r="E31" s="232">
        <f ca="1">E17</f>
        <v>0</v>
      </c>
      <c r="F31" s="232">
        <f ca="1">F17</f>
        <v>0</v>
      </c>
      <c r="G31" s="286"/>
    </row>
    <row r="32" spans="1:7" ht="13.8" x14ac:dyDescent="0.25">
      <c r="A32" s="232" t="s">
        <v>454</v>
      </c>
      <c r="B32" s="232">
        <f ca="1">SUM(B28:B31)</f>
        <v>10701.685883631548</v>
      </c>
      <c r="C32" s="232">
        <f ca="1">SUM(C28:C31)</f>
        <v>10317.29212887382</v>
      </c>
      <c r="D32" s="232">
        <f ca="1">SUM(D28:D31)</f>
        <v>1044.3774021206104</v>
      </c>
      <c r="E32" s="232" t="e">
        <f ca="1">SUM(E28:E31)</f>
        <v>#DIV/0!</v>
      </c>
      <c r="F32" s="232" t="e">
        <f ca="1">SUM(F28:F31)</f>
        <v>#DIV/0!</v>
      </c>
      <c r="G32" s="232"/>
    </row>
    <row r="33" spans="1:7" ht="13.8" x14ac:dyDescent="0.25">
      <c r="A33" s="231"/>
      <c r="B33" s="232"/>
      <c r="C33" s="232"/>
      <c r="D33" s="232"/>
      <c r="E33" s="232"/>
      <c r="F33" s="232"/>
      <c r="G33" s="289"/>
    </row>
    <row r="34" spans="1:7" ht="13.8" x14ac:dyDescent="0.25">
      <c r="A34" s="231" t="s">
        <v>455</v>
      </c>
      <c r="B34" s="232"/>
      <c r="C34" s="232"/>
      <c r="D34" s="232"/>
      <c r="E34" s="232"/>
      <c r="F34" s="232"/>
      <c r="G34" s="231"/>
    </row>
    <row r="35" spans="1:7" ht="13.8" x14ac:dyDescent="0.25">
      <c r="A35" s="231" t="s">
        <v>456</v>
      </c>
      <c r="B35" s="232">
        <f>IF(B14&lt;B23,0,B25)</f>
        <v>0</v>
      </c>
      <c r="C35" s="232">
        <f>IF(C14&lt;C23,0,C25)</f>
        <v>0</v>
      </c>
      <c r="D35" s="232">
        <f>IF(D14&lt;D23,0,D25)</f>
        <v>0</v>
      </c>
      <c r="E35" s="232" t="e">
        <f>IF(E14&lt;E23,0,E25)</f>
        <v>#DIV/0!</v>
      </c>
      <c r="F35" s="232" t="e">
        <f>IF(F14&lt;F23,0,F25)</f>
        <v>#DIV/0!</v>
      </c>
      <c r="G35" s="286"/>
    </row>
    <row r="36" spans="1:7" ht="12.75" customHeight="1" x14ac:dyDescent="0.25">
      <c r="A36" s="231" t="s">
        <v>457</v>
      </c>
      <c r="B36" s="232">
        <f>B18*B19*B14</f>
        <v>2664</v>
      </c>
      <c r="C36" s="232">
        <f>C18*C19*C14</f>
        <v>1415.25</v>
      </c>
      <c r="D36" s="232">
        <f>D18*D19*D14</f>
        <v>0</v>
      </c>
      <c r="E36" s="232">
        <f>E18*E19*E14</f>
        <v>0</v>
      </c>
      <c r="F36" s="232">
        <f>F18*F19*F14</f>
        <v>0</v>
      </c>
      <c r="G36" s="243">
        <f>SUM(B36:F36)</f>
        <v>4079.25</v>
      </c>
    </row>
    <row r="37" spans="1:7" s="8" customFormat="1" ht="13.2" x14ac:dyDescent="0.25">
      <c r="A37" s="299" t="s">
        <v>458</v>
      </c>
      <c r="B37" s="300">
        <f>B21*B14/100</f>
        <v>700</v>
      </c>
      <c r="C37" s="300">
        <f>C21*C14/100</f>
        <v>225</v>
      </c>
      <c r="D37" s="300">
        <f>D21*D14/100</f>
        <v>112.5</v>
      </c>
      <c r="E37" s="300">
        <f>E21*E14/100</f>
        <v>0</v>
      </c>
      <c r="F37" s="300">
        <f>F21*F14/100</f>
        <v>0</v>
      </c>
      <c r="G37" s="301">
        <f>SUM(B37:F37)</f>
        <v>1037.5</v>
      </c>
    </row>
    <row r="38" spans="1:7" s="8" customFormat="1" ht="13.2" x14ac:dyDescent="0.25">
      <c r="A38" s="299" t="s">
        <v>410</v>
      </c>
      <c r="B38" s="300">
        <f>B20/100*B14*B3</f>
        <v>1800</v>
      </c>
      <c r="C38" s="300">
        <f>C20/100*C14*C3</f>
        <v>1350</v>
      </c>
      <c r="D38" s="300">
        <f>D20/100*D14*D3</f>
        <v>255.00000000000003</v>
      </c>
      <c r="E38" s="300">
        <f>E20/100*E14*E3</f>
        <v>0</v>
      </c>
      <c r="F38" s="300">
        <f>F20/100*F14*F3</f>
        <v>0</v>
      </c>
      <c r="G38" s="301">
        <f>SUM(G36:G37)</f>
        <v>5116.75</v>
      </c>
    </row>
    <row r="39" spans="1:7" ht="13.8" x14ac:dyDescent="0.25">
      <c r="A39" s="231" t="s">
        <v>459</v>
      </c>
      <c r="B39" s="232">
        <f>SUM(B35:B38)</f>
        <v>5164</v>
      </c>
      <c r="C39" s="232">
        <f>SUM(C35:C38)</f>
        <v>2990.25</v>
      </c>
      <c r="D39" s="232">
        <f>SUM(D35:D38)</f>
        <v>367.5</v>
      </c>
      <c r="E39" s="232" t="e">
        <f>SUM(E35:E38)</f>
        <v>#DIV/0!</v>
      </c>
      <c r="F39" s="232" t="e">
        <f>SUM(F35:F38)</f>
        <v>#DIV/0!</v>
      </c>
    </row>
    <row r="40" spans="1:7" ht="13.8" x14ac:dyDescent="0.25">
      <c r="A40" s="231"/>
      <c r="B40" s="232"/>
      <c r="C40" s="232"/>
      <c r="D40" s="232"/>
      <c r="E40" s="232"/>
      <c r="F40" s="232"/>
    </row>
    <row r="41" spans="1:7" ht="13.8" x14ac:dyDescent="0.25">
      <c r="A41" s="242" t="s">
        <v>386</v>
      </c>
      <c r="B41" s="243">
        <f ca="1">B32+B39</f>
        <v>15865.685883631548</v>
      </c>
      <c r="C41" s="243">
        <f ca="1">C32+C39</f>
        <v>13307.54212887382</v>
      </c>
      <c r="D41" s="243">
        <f ca="1">D32+D39</f>
        <v>1411.8774021206104</v>
      </c>
      <c r="E41" s="243" t="e">
        <f ca="1">E32+E39</f>
        <v>#DIV/0!</v>
      </c>
      <c r="F41" s="243" t="e">
        <f ca="1">F32+F39</f>
        <v>#DIV/0!</v>
      </c>
      <c r="G41" s="307"/>
    </row>
    <row r="42" spans="1:7" ht="13.8" x14ac:dyDescent="0.25">
      <c r="A42" s="242" t="s">
        <v>466</v>
      </c>
      <c r="B42" s="243">
        <f ca="1">B41/B14</f>
        <v>79.328429418157739</v>
      </c>
      <c r="C42" s="243">
        <f ca="1">C41/C14</f>
        <v>88.716947525825461</v>
      </c>
      <c r="D42" s="243">
        <f ca="1">D41/D14</f>
        <v>9.4125160141374025</v>
      </c>
      <c r="E42" s="243" t="e">
        <f ca="1">E41/E14</f>
        <v>#DIV/0!</v>
      </c>
      <c r="F42" s="243" t="e">
        <f ca="1">F41/F14</f>
        <v>#DIV/0!</v>
      </c>
      <c r="G42" s="307"/>
    </row>
    <row r="43" spans="1:7" ht="13.8" x14ac:dyDescent="0.25">
      <c r="A43" s="231"/>
      <c r="B43" s="232"/>
      <c r="C43" s="232"/>
      <c r="D43" s="232"/>
      <c r="E43" s="232"/>
      <c r="F43" s="232"/>
    </row>
  </sheetData>
  <sheetProtection algorithmName="SHA-512" hashValue="zzxwsPDeNctuZgboOyyLBU8BsLaGRXYDMHoR2FZJUGDJiE8HiYqB+oPPRdGDlYY61OqRFYWWzgy9otY5SXaHxw==" saltValue="SHV9F+T0JXI8mDVAdmM7fw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workbookViewId="0"/>
  </sheetViews>
  <sheetFormatPr baseColWidth="10" defaultRowHeight="12.75" x14ac:dyDescent="0.25"/>
  <cols>
    <col min="1" max="1" width="15.796875" customWidth="1"/>
    <col min="2" max="2" width="12.59765625" customWidth="1"/>
    <col min="3" max="4" width="8.5" style="308" customWidth="1"/>
    <col min="5" max="5" width="7.8984375" customWidth="1"/>
    <col min="6" max="6" width="18.8984375" customWidth="1"/>
    <col min="7" max="7" width="16.5" customWidth="1"/>
    <col min="8" max="8" width="7.09765625" customWidth="1"/>
    <col min="9" max="1024" width="7.8984375" customWidth="1"/>
  </cols>
  <sheetData>
    <row r="1" spans="1:10" ht="22.8" x14ac:dyDescent="0.4">
      <c r="A1" s="143" t="s">
        <v>467</v>
      </c>
      <c r="B1" s="215"/>
      <c r="F1" s="143" t="s">
        <v>468</v>
      </c>
      <c r="G1" s="215"/>
      <c r="H1" s="215"/>
      <c r="I1" s="215"/>
      <c r="J1" s="215"/>
    </row>
    <row r="2" spans="1:10" s="204" customFormat="1" ht="26.25" customHeight="1" x14ac:dyDescent="0.25">
      <c r="A2" s="204" t="s">
        <v>469</v>
      </c>
      <c r="B2" s="204" t="s">
        <v>470</v>
      </c>
      <c r="C2" s="309" t="s">
        <v>471</v>
      </c>
      <c r="D2" s="309" t="s">
        <v>472</v>
      </c>
      <c r="F2" s="204" t="s">
        <v>473</v>
      </c>
      <c r="G2" s="204" t="s">
        <v>474</v>
      </c>
      <c r="H2" s="204" t="s">
        <v>475</v>
      </c>
      <c r="I2" s="204" t="s">
        <v>476</v>
      </c>
    </row>
    <row r="3" spans="1:10" ht="13.8" x14ac:dyDescent="0.25">
      <c r="A3" s="9" t="s">
        <v>477</v>
      </c>
      <c r="B3" s="9">
        <v>1000</v>
      </c>
      <c r="C3" s="310">
        <v>5.05</v>
      </c>
      <c r="D3" s="311">
        <f t="shared" ref="D3:D66" si="0">C3/B3</f>
        <v>5.0499999999999998E-3</v>
      </c>
      <c r="F3" s="9" t="s">
        <v>478</v>
      </c>
      <c r="G3" s="312" t="s">
        <v>354</v>
      </c>
      <c r="H3" s="9">
        <v>350</v>
      </c>
      <c r="I3" s="308">
        <f ca="1">VLOOKUP(G3,BDL!$H$6:$I$13,2,0)/H3</f>
        <v>5.6278432678650479E-2</v>
      </c>
    </row>
    <row r="4" spans="1:10" ht="13.8" x14ac:dyDescent="0.25">
      <c r="A4" s="9" t="s">
        <v>479</v>
      </c>
      <c r="B4" s="9">
        <v>1000</v>
      </c>
      <c r="C4" s="310">
        <v>11.8</v>
      </c>
      <c r="D4" s="311">
        <f t="shared" si="0"/>
        <v>1.1800000000000001E-2</v>
      </c>
      <c r="F4" s="9" t="s">
        <v>480</v>
      </c>
      <c r="G4" s="312" t="s">
        <v>366</v>
      </c>
      <c r="H4" s="9">
        <v>1000</v>
      </c>
      <c r="I4" s="308">
        <f ca="1">VLOOKUP(G4,BDL!$H$6:$I$13,2,0)/H4</f>
        <v>1.7034284313106877E-2</v>
      </c>
    </row>
    <row r="5" spans="1:10" ht="13.8" x14ac:dyDescent="0.25">
      <c r="A5" s="312" t="s">
        <v>481</v>
      </c>
      <c r="B5" s="9">
        <v>250</v>
      </c>
      <c r="C5" s="310">
        <v>18</v>
      </c>
      <c r="D5" s="311">
        <f t="shared" si="0"/>
        <v>7.1999999999999995E-2</v>
      </c>
      <c r="F5" s="9" t="s">
        <v>482</v>
      </c>
      <c r="G5" s="312" t="s">
        <v>366</v>
      </c>
      <c r="H5" s="9">
        <v>1000</v>
      </c>
      <c r="I5" s="308">
        <f ca="1">VLOOKUP(G5,BDL!$H$6:$I$13,2,0)/H5</f>
        <v>1.7034284313106877E-2</v>
      </c>
    </row>
    <row r="6" spans="1:10" ht="13.8" x14ac:dyDescent="0.25">
      <c r="A6" s="9" t="s">
        <v>483</v>
      </c>
      <c r="B6" s="9">
        <v>1000</v>
      </c>
      <c r="C6" s="310">
        <v>22.1</v>
      </c>
      <c r="D6" s="311">
        <f t="shared" si="0"/>
        <v>2.2100000000000002E-2</v>
      </c>
      <c r="F6" s="9" t="s">
        <v>484</v>
      </c>
      <c r="G6" s="312" t="s">
        <v>366</v>
      </c>
      <c r="H6" s="9">
        <v>300</v>
      </c>
      <c r="I6" s="308">
        <f ca="1">VLOOKUP(G6,BDL!$H$6:$I$13,2,0)/H6</f>
        <v>5.6780947710356258E-2</v>
      </c>
    </row>
    <row r="7" spans="1:10" ht="13.8" x14ac:dyDescent="0.25">
      <c r="A7" s="9" t="s">
        <v>485</v>
      </c>
      <c r="B7" s="9">
        <v>1000</v>
      </c>
      <c r="C7" s="310">
        <v>45</v>
      </c>
      <c r="D7" s="311">
        <f t="shared" si="0"/>
        <v>4.4999999999999998E-2</v>
      </c>
      <c r="F7" s="9" t="s">
        <v>486</v>
      </c>
      <c r="G7" s="312" t="s">
        <v>354</v>
      </c>
      <c r="H7" s="9">
        <v>600</v>
      </c>
      <c r="I7" s="308">
        <f ca="1">VLOOKUP(G7,BDL!$H$6:$I$13,2,0)/H7</f>
        <v>3.2829085729212781E-2</v>
      </c>
    </row>
    <row r="8" spans="1:10" ht="13.8" x14ac:dyDescent="0.25">
      <c r="A8" s="9" t="s">
        <v>487</v>
      </c>
      <c r="B8" s="9">
        <v>1000</v>
      </c>
      <c r="C8" s="310">
        <v>413</v>
      </c>
      <c r="D8" s="313">
        <f t="shared" si="0"/>
        <v>0.41299999999999998</v>
      </c>
      <c r="F8" s="9" t="s">
        <v>488</v>
      </c>
      <c r="G8" s="312" t="s">
        <v>354</v>
      </c>
      <c r="H8" s="9">
        <v>150</v>
      </c>
      <c r="I8" s="308">
        <f ca="1">VLOOKUP(G8,BDL!$H$6:$I$13,2,0)/H8</f>
        <v>0.13131634291685113</v>
      </c>
    </row>
    <row r="9" spans="1:10" ht="13.8" x14ac:dyDescent="0.25">
      <c r="A9" s="9" t="s">
        <v>489</v>
      </c>
      <c r="B9" s="9">
        <v>10000</v>
      </c>
      <c r="C9" s="310">
        <v>50</v>
      </c>
      <c r="D9" s="311">
        <f t="shared" si="0"/>
        <v>5.0000000000000001E-3</v>
      </c>
      <c r="F9" s="9" t="s">
        <v>490</v>
      </c>
      <c r="G9" s="312" t="s">
        <v>366</v>
      </c>
      <c r="H9" s="9">
        <v>1000</v>
      </c>
      <c r="I9" s="308">
        <f ca="1">VLOOKUP(G9,BDL!$H$6:$I$13,2,0)/H9</f>
        <v>1.7034284313106877E-2</v>
      </c>
    </row>
    <row r="10" spans="1:10" ht="13.8" x14ac:dyDescent="0.25">
      <c r="A10" s="9" t="s">
        <v>491</v>
      </c>
      <c r="B10" s="9">
        <v>1000</v>
      </c>
      <c r="C10" s="310">
        <v>35</v>
      </c>
      <c r="D10" s="311">
        <f t="shared" si="0"/>
        <v>3.5000000000000003E-2</v>
      </c>
      <c r="F10" s="9" t="s">
        <v>492</v>
      </c>
      <c r="G10" s="312" t="s">
        <v>366</v>
      </c>
      <c r="H10" s="9">
        <v>50000</v>
      </c>
      <c r="I10" s="308">
        <f ca="1">VLOOKUP(G10,BDL!$H$6:$I$13,2,0)/H10</f>
        <v>3.4068568626213753E-4</v>
      </c>
    </row>
    <row r="11" spans="1:10" ht="13.8" x14ac:dyDescent="0.25">
      <c r="A11" s="9" t="s">
        <v>493</v>
      </c>
      <c r="B11" s="9">
        <v>100</v>
      </c>
      <c r="C11" s="310">
        <v>20</v>
      </c>
      <c r="D11" s="311">
        <f t="shared" si="0"/>
        <v>0.2</v>
      </c>
      <c r="F11" s="9" t="s">
        <v>494</v>
      </c>
      <c r="G11" s="312" t="s">
        <v>354</v>
      </c>
      <c r="H11" s="9">
        <v>20</v>
      </c>
      <c r="I11" s="308">
        <f ca="1">VLOOKUP(G11,BDL!$H$6:$I$13,2,0)/H11</f>
        <v>0.98487257187638344</v>
      </c>
    </row>
    <row r="12" spans="1:10" ht="13.8" x14ac:dyDescent="0.25">
      <c r="A12" s="9" t="s">
        <v>495</v>
      </c>
      <c r="B12" s="9">
        <v>8</v>
      </c>
      <c r="C12" s="310">
        <v>0.03</v>
      </c>
      <c r="D12" s="311">
        <f t="shared" si="0"/>
        <v>3.7499999999999999E-3</v>
      </c>
      <c r="F12" s="9" t="s">
        <v>496</v>
      </c>
      <c r="G12" s="312" t="s">
        <v>366</v>
      </c>
      <c r="H12" s="9">
        <v>30</v>
      </c>
      <c r="I12" s="308">
        <f ca="1">VLOOKUP(G12,BDL!$H$6:$I$13,2,0)/H12</f>
        <v>0.56780947710356255</v>
      </c>
    </row>
    <row r="13" spans="1:10" ht="13.8" x14ac:dyDescent="0.25">
      <c r="A13" s="9" t="s">
        <v>497</v>
      </c>
      <c r="B13" s="9">
        <v>1</v>
      </c>
      <c r="C13" s="310">
        <v>2E-3</v>
      </c>
      <c r="D13" s="311">
        <f t="shared" si="0"/>
        <v>2E-3</v>
      </c>
      <c r="F13" s="9" t="s">
        <v>498</v>
      </c>
      <c r="G13" s="312" t="s">
        <v>366</v>
      </c>
      <c r="H13" s="9">
        <v>410</v>
      </c>
      <c r="I13" s="308">
        <f ca="1">VLOOKUP(G13,BDL!$H$6:$I$13,2,0)/H13</f>
        <v>4.1547034910016774E-2</v>
      </c>
    </row>
    <row r="14" spans="1:10" ht="13.8" x14ac:dyDescent="0.25">
      <c r="A14" s="263" t="s">
        <v>499</v>
      </c>
      <c r="B14" s="9">
        <v>100</v>
      </c>
      <c r="C14" s="310">
        <v>18</v>
      </c>
      <c r="D14" s="311">
        <f t="shared" si="0"/>
        <v>0.18</v>
      </c>
      <c r="F14" s="9" t="s">
        <v>500</v>
      </c>
      <c r="G14" s="312" t="s">
        <v>366</v>
      </c>
      <c r="H14" s="9">
        <v>40000</v>
      </c>
      <c r="I14" s="308">
        <f ca="1">VLOOKUP(G14,BDL!$H$6:$I$13,2,0)/H14</f>
        <v>4.2585710782767195E-4</v>
      </c>
    </row>
    <row r="15" spans="1:10" ht="13.8" x14ac:dyDescent="0.25">
      <c r="A15" s="263" t="s">
        <v>501</v>
      </c>
      <c r="B15" s="9">
        <v>100</v>
      </c>
      <c r="C15" s="310">
        <v>22</v>
      </c>
      <c r="D15" s="311">
        <f t="shared" si="0"/>
        <v>0.22</v>
      </c>
      <c r="F15" s="9" t="s">
        <v>502</v>
      </c>
      <c r="G15" s="312" t="s">
        <v>354</v>
      </c>
      <c r="H15" s="9">
        <v>300</v>
      </c>
      <c r="I15" s="308">
        <f ca="1">VLOOKUP(G15,BDL!$H$6:$I$13,2,0)/H15</f>
        <v>6.5658171458425563E-2</v>
      </c>
    </row>
    <row r="16" spans="1:10" ht="13.8" x14ac:dyDescent="0.25">
      <c r="A16" s="9" t="s">
        <v>503</v>
      </c>
      <c r="B16" s="9">
        <v>1000</v>
      </c>
      <c r="C16" s="310">
        <v>146.75</v>
      </c>
      <c r="D16" s="311">
        <f t="shared" si="0"/>
        <v>0.14674999999999999</v>
      </c>
      <c r="F16" s="9"/>
      <c r="G16" s="312">
        <v>0</v>
      </c>
      <c r="H16" s="9"/>
      <c r="I16" s="308" t="e">
        <f>VLOOKUP(G16,BDL!$H$6:$I$13,2,0)/H16</f>
        <v>#DIV/0!</v>
      </c>
    </row>
    <row r="17" spans="1:9" ht="13.8" x14ac:dyDescent="0.25">
      <c r="A17" s="9" t="s">
        <v>504</v>
      </c>
      <c r="B17" s="9">
        <v>10000</v>
      </c>
      <c r="C17" s="310">
        <v>300</v>
      </c>
      <c r="D17" s="311">
        <f t="shared" si="0"/>
        <v>0.03</v>
      </c>
      <c r="F17" s="9"/>
      <c r="G17" s="312">
        <v>0</v>
      </c>
      <c r="H17" s="9"/>
      <c r="I17" s="308" t="e">
        <f>VLOOKUP(G17,BDL!$H$6:$I$13,2,0)/H17</f>
        <v>#DIV/0!</v>
      </c>
    </row>
    <row r="18" spans="1:9" ht="13.8" x14ac:dyDescent="0.25">
      <c r="A18" s="9" t="s">
        <v>505</v>
      </c>
      <c r="B18" s="9">
        <v>100</v>
      </c>
      <c r="C18" s="310">
        <v>30</v>
      </c>
      <c r="D18" s="311">
        <f t="shared" si="0"/>
        <v>0.3</v>
      </c>
      <c r="F18" s="9"/>
      <c r="G18" s="312">
        <v>0</v>
      </c>
      <c r="H18" s="9"/>
      <c r="I18" s="308" t="e">
        <f>VLOOKUP(G18,BDL!$H$6:$I$13,2,0)/H18</f>
        <v>#DIV/0!</v>
      </c>
    </row>
    <row r="19" spans="1:9" ht="13.8" x14ac:dyDescent="0.25">
      <c r="A19" s="9"/>
      <c r="B19" s="9"/>
      <c r="C19" s="310"/>
      <c r="D19" s="311" t="e">
        <f t="shared" si="0"/>
        <v>#DIV/0!</v>
      </c>
      <c r="F19" s="9"/>
      <c r="G19" s="312">
        <v>0</v>
      </c>
      <c r="H19" s="9"/>
      <c r="I19" s="308" t="e">
        <f>VLOOKUP(G19,BDL!$H$6:$I$13,2,0)/H19</f>
        <v>#DIV/0!</v>
      </c>
    </row>
    <row r="20" spans="1:9" ht="13.8" x14ac:dyDescent="0.25">
      <c r="A20" s="9"/>
      <c r="B20" s="9"/>
      <c r="C20" s="310"/>
      <c r="D20" s="311" t="e">
        <f t="shared" si="0"/>
        <v>#DIV/0!</v>
      </c>
      <c r="F20" s="9"/>
      <c r="G20" s="312">
        <v>0</v>
      </c>
      <c r="H20" s="9"/>
      <c r="I20" s="308" t="e">
        <f>VLOOKUP(G20,BDL!$H$6:$I$13,2,0)/H20</f>
        <v>#DIV/0!</v>
      </c>
    </row>
    <row r="21" spans="1:9" ht="13.8" x14ac:dyDescent="0.25">
      <c r="A21" s="9"/>
      <c r="B21" s="9"/>
      <c r="C21" s="310"/>
      <c r="D21" s="311" t="e">
        <f t="shared" si="0"/>
        <v>#DIV/0!</v>
      </c>
      <c r="F21" s="9"/>
      <c r="G21" s="312">
        <v>0</v>
      </c>
      <c r="H21" s="9"/>
      <c r="I21" s="308" t="e">
        <f>VLOOKUP(G21,BDL!$H$6:$I$13,2,0)/H21</f>
        <v>#DIV/0!</v>
      </c>
    </row>
    <row r="22" spans="1:9" ht="13.8" x14ac:dyDescent="0.25">
      <c r="A22" s="9"/>
      <c r="B22" s="9"/>
      <c r="C22" s="310"/>
      <c r="D22" s="311" t="e">
        <f t="shared" si="0"/>
        <v>#DIV/0!</v>
      </c>
      <c r="F22" s="9"/>
      <c r="G22" s="312">
        <v>0</v>
      </c>
      <c r="H22" s="9"/>
      <c r="I22" s="308" t="e">
        <f>VLOOKUP(G22,BDL!$H$6:$I$13,2,0)/H22</f>
        <v>#DIV/0!</v>
      </c>
    </row>
    <row r="23" spans="1:9" ht="13.8" x14ac:dyDescent="0.25">
      <c r="A23" s="9"/>
      <c r="B23" s="9"/>
      <c r="C23" s="310"/>
      <c r="D23" s="311" t="e">
        <f t="shared" si="0"/>
        <v>#DIV/0!</v>
      </c>
      <c r="F23" s="9"/>
      <c r="G23" s="312">
        <v>0</v>
      </c>
      <c r="H23" s="9"/>
      <c r="I23" s="308" t="e">
        <f>VLOOKUP(G23,BDL!$H$6:$I$13,2,0)/H23</f>
        <v>#DIV/0!</v>
      </c>
    </row>
    <row r="24" spans="1:9" ht="13.8" x14ac:dyDescent="0.25">
      <c r="A24" s="9"/>
      <c r="B24" s="9"/>
      <c r="C24" s="310"/>
      <c r="D24" s="311" t="e">
        <f t="shared" si="0"/>
        <v>#DIV/0!</v>
      </c>
      <c r="F24" s="9"/>
      <c r="G24" s="312">
        <v>0</v>
      </c>
      <c r="H24" s="9"/>
      <c r="I24" s="308" t="e">
        <f>VLOOKUP(G24,BDL!$H$6:$I$13,2,0)/H24</f>
        <v>#DIV/0!</v>
      </c>
    </row>
    <row r="25" spans="1:9" ht="13.8" x14ac:dyDescent="0.25">
      <c r="A25" s="9"/>
      <c r="B25" s="9"/>
      <c r="C25" s="310"/>
      <c r="D25" s="311" t="e">
        <f t="shared" si="0"/>
        <v>#DIV/0!</v>
      </c>
      <c r="F25" s="9"/>
      <c r="G25" s="312">
        <v>0</v>
      </c>
      <c r="H25" s="9"/>
      <c r="I25" s="308" t="e">
        <f>VLOOKUP(G25,BDL!$H$6:$I$13,2,0)/H25</f>
        <v>#DIV/0!</v>
      </c>
    </row>
    <row r="26" spans="1:9" ht="13.8" x14ac:dyDescent="0.25">
      <c r="A26" s="9"/>
      <c r="B26" s="9"/>
      <c r="C26" s="310"/>
      <c r="D26" s="311" t="e">
        <f t="shared" si="0"/>
        <v>#DIV/0!</v>
      </c>
      <c r="F26" s="9"/>
      <c r="G26" s="312">
        <v>0</v>
      </c>
      <c r="H26" s="9"/>
      <c r="I26" s="308" t="e">
        <f>VLOOKUP(G26,BDL!$H$6:$I$13,2,0)/H26</f>
        <v>#DIV/0!</v>
      </c>
    </row>
    <row r="27" spans="1:9" ht="13.8" x14ac:dyDescent="0.25">
      <c r="A27" s="9"/>
      <c r="B27" s="9"/>
      <c r="C27" s="310"/>
      <c r="D27" s="311" t="e">
        <f t="shared" si="0"/>
        <v>#DIV/0!</v>
      </c>
      <c r="F27" s="9"/>
      <c r="G27" s="312">
        <v>0</v>
      </c>
      <c r="H27" s="9"/>
      <c r="I27" s="308" t="e">
        <f>VLOOKUP(G27,BDL!$H$6:$I$13,2,0)/H27</f>
        <v>#DIV/0!</v>
      </c>
    </row>
    <row r="28" spans="1:9" ht="13.8" x14ac:dyDescent="0.25">
      <c r="A28" s="9"/>
      <c r="B28" s="9"/>
      <c r="C28" s="310"/>
      <c r="D28" s="311" t="e">
        <f t="shared" si="0"/>
        <v>#DIV/0!</v>
      </c>
      <c r="F28" s="9"/>
      <c r="G28" s="312">
        <v>0</v>
      </c>
      <c r="H28" s="9"/>
      <c r="I28" s="308" t="e">
        <f>VLOOKUP(G28,BDL!$H$6:$I$13,2,0)/H28</f>
        <v>#DIV/0!</v>
      </c>
    </row>
    <row r="29" spans="1:9" ht="13.8" x14ac:dyDescent="0.25">
      <c r="A29" s="9"/>
      <c r="B29" s="9"/>
      <c r="C29" s="310"/>
      <c r="D29" s="311" t="e">
        <f t="shared" si="0"/>
        <v>#DIV/0!</v>
      </c>
      <c r="F29" s="9"/>
      <c r="G29" s="312">
        <v>0</v>
      </c>
      <c r="H29" s="9"/>
      <c r="I29" s="308" t="e">
        <f>VLOOKUP(G29,BDL!$H$6:$I$13,2,0)/H29</f>
        <v>#DIV/0!</v>
      </c>
    </row>
    <row r="30" spans="1:9" ht="13.8" x14ac:dyDescent="0.25">
      <c r="A30" s="9"/>
      <c r="B30" s="9"/>
      <c r="C30" s="310"/>
      <c r="D30" s="311" t="e">
        <f t="shared" si="0"/>
        <v>#DIV/0!</v>
      </c>
      <c r="F30" s="9"/>
      <c r="G30" s="312">
        <v>0</v>
      </c>
      <c r="H30" s="9"/>
      <c r="I30" s="308" t="e">
        <f>VLOOKUP(G30,BDL!$H$6:$I$13,2,0)/H30</f>
        <v>#DIV/0!</v>
      </c>
    </row>
    <row r="31" spans="1:9" ht="13.8" x14ac:dyDescent="0.25">
      <c r="A31" s="9"/>
      <c r="B31" s="9"/>
      <c r="C31" s="310"/>
      <c r="D31" s="311" t="e">
        <f t="shared" si="0"/>
        <v>#DIV/0!</v>
      </c>
      <c r="F31" s="9"/>
      <c r="G31" s="312">
        <v>0</v>
      </c>
      <c r="H31" s="9"/>
      <c r="I31" s="308" t="e">
        <f>VLOOKUP(G31,BDL!$H$6:$I$13,2,0)/H31</f>
        <v>#DIV/0!</v>
      </c>
    </row>
    <row r="32" spans="1:9" ht="13.8" x14ac:dyDescent="0.25">
      <c r="A32" s="9"/>
      <c r="B32" s="9"/>
      <c r="C32" s="310"/>
      <c r="D32" s="311" t="e">
        <f t="shared" si="0"/>
        <v>#DIV/0!</v>
      </c>
      <c r="F32" s="9"/>
      <c r="G32" s="312">
        <v>0</v>
      </c>
      <c r="H32" s="9"/>
      <c r="I32" s="308" t="e">
        <f>VLOOKUP(G32,BDL!$H$6:$I$13,2,0)/H32</f>
        <v>#DIV/0!</v>
      </c>
    </row>
    <row r="33" spans="1:9" ht="13.8" x14ac:dyDescent="0.25">
      <c r="A33" s="9"/>
      <c r="B33" s="9"/>
      <c r="C33" s="310"/>
      <c r="D33" s="311" t="e">
        <f t="shared" si="0"/>
        <v>#DIV/0!</v>
      </c>
      <c r="F33" s="9"/>
      <c r="G33" s="312">
        <v>0</v>
      </c>
      <c r="H33" s="9"/>
      <c r="I33" s="308" t="e">
        <f>VLOOKUP(G33,BDL!$H$6:$I$13,2,0)/H33</f>
        <v>#DIV/0!</v>
      </c>
    </row>
    <row r="34" spans="1:9" ht="13.8" x14ac:dyDescent="0.25">
      <c r="A34" s="9"/>
      <c r="B34" s="9"/>
      <c r="C34" s="310"/>
      <c r="D34" s="311" t="e">
        <f t="shared" si="0"/>
        <v>#DIV/0!</v>
      </c>
      <c r="F34" s="9"/>
      <c r="G34" s="312">
        <v>0</v>
      </c>
      <c r="H34" s="9"/>
      <c r="I34" s="308" t="e">
        <f>VLOOKUP(G34,BDL!$H$6:$I$13,2,0)/H34</f>
        <v>#DIV/0!</v>
      </c>
    </row>
    <row r="35" spans="1:9" ht="13.8" x14ac:dyDescent="0.25">
      <c r="A35" s="9"/>
      <c r="B35" s="9"/>
      <c r="C35" s="310"/>
      <c r="D35" s="311" t="e">
        <f t="shared" si="0"/>
        <v>#DIV/0!</v>
      </c>
      <c r="F35" s="9"/>
      <c r="G35" s="312">
        <v>0</v>
      </c>
      <c r="H35" s="9"/>
      <c r="I35" s="308" t="e">
        <f>VLOOKUP(G35,BDL!$H$6:$I$13,2,0)/H35</f>
        <v>#DIV/0!</v>
      </c>
    </row>
    <row r="36" spans="1:9" ht="13.8" x14ac:dyDescent="0.25">
      <c r="A36" s="9"/>
      <c r="B36" s="9"/>
      <c r="C36" s="310"/>
      <c r="D36" s="311" t="e">
        <f t="shared" si="0"/>
        <v>#DIV/0!</v>
      </c>
      <c r="F36" s="9"/>
      <c r="G36" s="312">
        <v>0</v>
      </c>
      <c r="H36" s="9"/>
      <c r="I36" s="308" t="e">
        <f>VLOOKUP(G36,BDL!$H$6:$I$13,2,0)/H36</f>
        <v>#DIV/0!</v>
      </c>
    </row>
    <row r="37" spans="1:9" ht="13.8" x14ac:dyDescent="0.25">
      <c r="A37" s="9"/>
      <c r="B37" s="9"/>
      <c r="C37" s="310"/>
      <c r="D37" s="311" t="e">
        <f t="shared" si="0"/>
        <v>#DIV/0!</v>
      </c>
      <c r="F37" s="314"/>
      <c r="G37" s="312">
        <v>0</v>
      </c>
      <c r="H37" s="9"/>
      <c r="I37" s="308" t="e">
        <f>VLOOKUP(G37,BDL!$H$6:$I$13,2,0)/H37</f>
        <v>#DIV/0!</v>
      </c>
    </row>
    <row r="38" spans="1:9" ht="13.8" x14ac:dyDescent="0.25">
      <c r="A38" s="9"/>
      <c r="B38" s="9"/>
      <c r="C38" s="310"/>
      <c r="D38" s="311" t="e">
        <f t="shared" si="0"/>
        <v>#DIV/0!</v>
      </c>
      <c r="F38" s="314"/>
      <c r="G38" s="312">
        <v>0</v>
      </c>
      <c r="H38" s="9"/>
      <c r="I38" s="308" t="e">
        <f>VLOOKUP(G38,BDL!$H$6:$I$13,2,0)/H38</f>
        <v>#DIV/0!</v>
      </c>
    </row>
    <row r="39" spans="1:9" ht="13.8" x14ac:dyDescent="0.25">
      <c r="A39" s="9"/>
      <c r="B39" s="9"/>
      <c r="C39" s="310"/>
      <c r="D39" s="311" t="e">
        <f t="shared" si="0"/>
        <v>#DIV/0!</v>
      </c>
      <c r="F39" s="9"/>
      <c r="G39" s="312">
        <v>0</v>
      </c>
      <c r="H39" s="9"/>
      <c r="I39" s="308" t="e">
        <f>VLOOKUP(G39,BDL!$H$6:$I$13,2,0)/H39</f>
        <v>#DIV/0!</v>
      </c>
    </row>
    <row r="40" spans="1:9" ht="13.8" x14ac:dyDescent="0.25">
      <c r="A40" s="9"/>
      <c r="B40" s="9"/>
      <c r="C40" s="310"/>
      <c r="D40" s="311" t="e">
        <f t="shared" si="0"/>
        <v>#DIV/0!</v>
      </c>
      <c r="F40" s="9"/>
      <c r="G40" s="312">
        <v>0</v>
      </c>
      <c r="H40" s="9"/>
      <c r="I40" s="308" t="e">
        <f>VLOOKUP(G40,BDL!$H$6:$I$13,2,0)/H40</f>
        <v>#DIV/0!</v>
      </c>
    </row>
    <row r="41" spans="1:9" ht="13.8" x14ac:dyDescent="0.25">
      <c r="A41" s="9"/>
      <c r="B41" s="9"/>
      <c r="C41" s="310"/>
      <c r="D41" s="311" t="e">
        <f t="shared" si="0"/>
        <v>#DIV/0!</v>
      </c>
      <c r="F41" s="9"/>
      <c r="G41" s="312">
        <v>0</v>
      </c>
      <c r="H41" s="9"/>
      <c r="I41" s="308" t="e">
        <f>VLOOKUP(G41,BDL!$H$6:$I$13,2,0)/H41</f>
        <v>#DIV/0!</v>
      </c>
    </row>
    <row r="42" spans="1:9" ht="13.8" x14ac:dyDescent="0.25">
      <c r="A42" s="9"/>
      <c r="B42" s="9"/>
      <c r="C42" s="310"/>
      <c r="D42" s="311" t="e">
        <f t="shared" si="0"/>
        <v>#DIV/0!</v>
      </c>
      <c r="F42" s="9"/>
      <c r="G42" s="312">
        <v>0</v>
      </c>
      <c r="H42" s="9"/>
      <c r="I42" s="308" t="e">
        <f>VLOOKUP(G42,BDL!$H$6:$I$13,2,0)/H42</f>
        <v>#DIV/0!</v>
      </c>
    </row>
    <row r="43" spans="1:9" ht="13.8" x14ac:dyDescent="0.25">
      <c r="A43" s="9"/>
      <c r="B43" s="9"/>
      <c r="C43" s="310"/>
      <c r="D43" s="311" t="e">
        <f t="shared" si="0"/>
        <v>#DIV/0!</v>
      </c>
      <c r="F43" s="9"/>
      <c r="G43" s="312">
        <v>0</v>
      </c>
      <c r="H43" s="9"/>
      <c r="I43" s="308" t="e">
        <f>VLOOKUP(G43,BDL!$H$6:$I$13,2,0)/H43</f>
        <v>#DIV/0!</v>
      </c>
    </row>
    <row r="44" spans="1:9" ht="13.8" x14ac:dyDescent="0.25">
      <c r="A44" s="9"/>
      <c r="B44" s="9"/>
      <c r="C44" s="310"/>
      <c r="D44" s="311" t="e">
        <f t="shared" si="0"/>
        <v>#DIV/0!</v>
      </c>
      <c r="F44" s="9"/>
      <c r="G44" s="312">
        <v>0</v>
      </c>
      <c r="H44" s="9"/>
      <c r="I44" s="308" t="e">
        <f>VLOOKUP(G44,BDL!$H$6:$I$13,2,0)/H44</f>
        <v>#DIV/0!</v>
      </c>
    </row>
    <row r="45" spans="1:9" ht="13.8" x14ac:dyDescent="0.25">
      <c r="A45" s="9"/>
      <c r="B45" s="9"/>
      <c r="C45" s="310"/>
      <c r="D45" s="311" t="e">
        <f t="shared" si="0"/>
        <v>#DIV/0!</v>
      </c>
      <c r="F45" s="9"/>
      <c r="G45" s="312">
        <v>0</v>
      </c>
      <c r="H45" s="9"/>
      <c r="I45" s="308" t="e">
        <f>VLOOKUP(G45,BDL!$H$6:$I$13,2,0)/H45</f>
        <v>#DIV/0!</v>
      </c>
    </row>
    <row r="46" spans="1:9" ht="13.8" x14ac:dyDescent="0.25">
      <c r="A46" s="9"/>
      <c r="B46" s="9"/>
      <c r="C46" s="310"/>
      <c r="D46" s="311" t="e">
        <f t="shared" si="0"/>
        <v>#DIV/0!</v>
      </c>
      <c r="F46" s="9"/>
      <c r="G46" s="312">
        <v>0</v>
      </c>
      <c r="H46" s="9"/>
      <c r="I46" s="308" t="e">
        <f>VLOOKUP(G46,BDL!$H$6:$I$13,2,0)/H46</f>
        <v>#DIV/0!</v>
      </c>
    </row>
    <row r="47" spans="1:9" ht="13.8" x14ac:dyDescent="0.25">
      <c r="A47" s="9"/>
      <c r="B47" s="9"/>
      <c r="C47" s="310"/>
      <c r="D47" s="311" t="e">
        <f t="shared" si="0"/>
        <v>#DIV/0!</v>
      </c>
      <c r="F47" s="9"/>
      <c r="G47" s="312">
        <v>0</v>
      </c>
      <c r="H47" s="9"/>
      <c r="I47" s="308" t="e">
        <f>VLOOKUP(G47,BDL!$H$6:$I$13,2,0)/H47</f>
        <v>#DIV/0!</v>
      </c>
    </row>
    <row r="48" spans="1:9" ht="13.8" x14ac:dyDescent="0.25">
      <c r="A48" s="9"/>
      <c r="B48" s="9"/>
      <c r="C48" s="310"/>
      <c r="D48" s="311" t="e">
        <f t="shared" si="0"/>
        <v>#DIV/0!</v>
      </c>
      <c r="F48" s="9"/>
      <c r="G48" s="312">
        <v>0</v>
      </c>
      <c r="H48" s="9"/>
      <c r="I48" s="308" t="e">
        <f>VLOOKUP(G48,BDL!$H$6:$I$13,2,0)/H48</f>
        <v>#DIV/0!</v>
      </c>
    </row>
    <row r="49" spans="1:9" ht="13.8" x14ac:dyDescent="0.25">
      <c r="A49" s="9"/>
      <c r="B49" s="9"/>
      <c r="C49" s="310"/>
      <c r="D49" s="311" t="e">
        <f t="shared" si="0"/>
        <v>#DIV/0!</v>
      </c>
      <c r="F49" s="9"/>
      <c r="G49" s="312">
        <v>0</v>
      </c>
      <c r="H49" s="9"/>
      <c r="I49" s="308" t="e">
        <f>VLOOKUP(G49,BDL!$H$6:$I$13,2,0)/H49</f>
        <v>#DIV/0!</v>
      </c>
    </row>
    <row r="50" spans="1:9" ht="13.8" x14ac:dyDescent="0.25">
      <c r="A50" s="9"/>
      <c r="B50" s="9"/>
      <c r="C50" s="310"/>
      <c r="D50" s="311" t="e">
        <f t="shared" si="0"/>
        <v>#DIV/0!</v>
      </c>
      <c r="F50" s="9"/>
      <c r="G50" s="312">
        <v>0</v>
      </c>
      <c r="H50" s="9"/>
      <c r="I50" s="308" t="e">
        <f>VLOOKUP(G50,BDL!$H$6:$I$13,2,0)/H50</f>
        <v>#DIV/0!</v>
      </c>
    </row>
    <row r="51" spans="1:9" ht="13.8" x14ac:dyDescent="0.25">
      <c r="A51" s="9"/>
      <c r="B51" s="9"/>
      <c r="C51" s="310"/>
      <c r="D51" s="311" t="e">
        <f t="shared" si="0"/>
        <v>#DIV/0!</v>
      </c>
    </row>
    <row r="52" spans="1:9" ht="13.8" x14ac:dyDescent="0.25">
      <c r="A52" s="9"/>
      <c r="B52" s="9"/>
      <c r="C52" s="310"/>
      <c r="D52" s="311" t="e">
        <f t="shared" si="0"/>
        <v>#DIV/0!</v>
      </c>
    </row>
    <row r="53" spans="1:9" ht="13.8" x14ac:dyDescent="0.25">
      <c r="A53" s="9"/>
      <c r="B53" s="9"/>
      <c r="C53" s="310"/>
      <c r="D53" s="311" t="e">
        <f t="shared" si="0"/>
        <v>#DIV/0!</v>
      </c>
    </row>
    <row r="54" spans="1:9" ht="13.8" x14ac:dyDescent="0.25">
      <c r="A54" s="9"/>
      <c r="B54" s="9"/>
      <c r="C54" s="310"/>
      <c r="D54" s="311" t="e">
        <f t="shared" si="0"/>
        <v>#DIV/0!</v>
      </c>
    </row>
    <row r="55" spans="1:9" ht="13.8" x14ac:dyDescent="0.25">
      <c r="A55" s="9"/>
      <c r="B55" s="9"/>
      <c r="C55" s="310"/>
      <c r="D55" s="311" t="e">
        <f t="shared" si="0"/>
        <v>#DIV/0!</v>
      </c>
    </row>
    <row r="56" spans="1:9" ht="13.8" x14ac:dyDescent="0.25">
      <c r="A56" s="9"/>
      <c r="B56" s="9"/>
      <c r="C56" s="310"/>
      <c r="D56" s="311" t="e">
        <f t="shared" si="0"/>
        <v>#DIV/0!</v>
      </c>
    </row>
    <row r="57" spans="1:9" ht="13.8" x14ac:dyDescent="0.25">
      <c r="A57" s="9"/>
      <c r="B57" s="9"/>
      <c r="C57" s="310"/>
      <c r="D57" s="311" t="e">
        <f t="shared" si="0"/>
        <v>#DIV/0!</v>
      </c>
    </row>
    <row r="58" spans="1:9" ht="13.8" x14ac:dyDescent="0.25">
      <c r="A58" s="9"/>
      <c r="B58" s="9"/>
      <c r="C58" s="310"/>
      <c r="D58" s="311" t="e">
        <f t="shared" si="0"/>
        <v>#DIV/0!</v>
      </c>
    </row>
    <row r="59" spans="1:9" ht="13.8" x14ac:dyDescent="0.25">
      <c r="A59" s="9"/>
      <c r="B59" s="9"/>
      <c r="C59" s="310"/>
      <c r="D59" s="311" t="e">
        <f t="shared" si="0"/>
        <v>#DIV/0!</v>
      </c>
    </row>
    <row r="60" spans="1:9" ht="13.8" x14ac:dyDescent="0.25">
      <c r="A60" s="9"/>
      <c r="B60" s="9"/>
      <c r="C60" s="310"/>
      <c r="D60" s="311" t="e">
        <f t="shared" si="0"/>
        <v>#DIV/0!</v>
      </c>
    </row>
    <row r="61" spans="1:9" ht="13.8" x14ac:dyDescent="0.25">
      <c r="A61" s="9"/>
      <c r="B61" s="9"/>
      <c r="C61" s="310"/>
      <c r="D61" s="311" t="e">
        <f t="shared" si="0"/>
        <v>#DIV/0!</v>
      </c>
    </row>
    <row r="62" spans="1:9" ht="13.8" x14ac:dyDescent="0.25">
      <c r="A62" s="9"/>
      <c r="B62" s="9"/>
      <c r="C62" s="310"/>
      <c r="D62" s="311" t="e">
        <f t="shared" si="0"/>
        <v>#DIV/0!</v>
      </c>
    </row>
    <row r="63" spans="1:9" ht="13.8" x14ac:dyDescent="0.25">
      <c r="A63" s="9"/>
      <c r="B63" s="9"/>
      <c r="C63" s="310"/>
      <c r="D63" s="311" t="e">
        <f t="shared" si="0"/>
        <v>#DIV/0!</v>
      </c>
    </row>
    <row r="64" spans="1:9" ht="13.8" x14ac:dyDescent="0.25">
      <c r="A64" s="9"/>
      <c r="B64" s="9"/>
      <c r="C64" s="310"/>
      <c r="D64" s="311" t="e">
        <f t="shared" si="0"/>
        <v>#DIV/0!</v>
      </c>
    </row>
    <row r="65" spans="1:4" ht="13.8" x14ac:dyDescent="0.25">
      <c r="A65" s="9"/>
      <c r="B65" s="9"/>
      <c r="C65" s="310"/>
      <c r="D65" s="311" t="e">
        <f t="shared" si="0"/>
        <v>#DIV/0!</v>
      </c>
    </row>
    <row r="66" spans="1:4" ht="13.8" x14ac:dyDescent="0.25">
      <c r="A66" s="9"/>
      <c r="B66" s="9"/>
      <c r="C66" s="310"/>
      <c r="D66" s="311" t="e">
        <f t="shared" si="0"/>
        <v>#DIV/0!</v>
      </c>
    </row>
    <row r="67" spans="1:4" ht="13.8" x14ac:dyDescent="0.25">
      <c r="A67" s="9"/>
      <c r="B67" s="9"/>
      <c r="C67" s="310"/>
      <c r="D67" s="311" t="e">
        <f t="shared" ref="D67:D130" si="1">C67/B67</f>
        <v>#DIV/0!</v>
      </c>
    </row>
    <row r="68" spans="1:4" ht="13.8" x14ac:dyDescent="0.25">
      <c r="A68" s="9"/>
      <c r="B68" s="9"/>
      <c r="C68" s="310"/>
      <c r="D68" s="311" t="e">
        <f t="shared" si="1"/>
        <v>#DIV/0!</v>
      </c>
    </row>
    <row r="69" spans="1:4" ht="13.8" x14ac:dyDescent="0.25">
      <c r="A69" s="9"/>
      <c r="B69" s="9"/>
      <c r="C69" s="310"/>
      <c r="D69" s="311" t="e">
        <f t="shared" si="1"/>
        <v>#DIV/0!</v>
      </c>
    </row>
    <row r="70" spans="1:4" ht="13.8" x14ac:dyDescent="0.25">
      <c r="A70" s="9"/>
      <c r="B70" s="9"/>
      <c r="C70" s="310"/>
      <c r="D70" s="311" t="e">
        <f t="shared" si="1"/>
        <v>#DIV/0!</v>
      </c>
    </row>
    <row r="71" spans="1:4" ht="13.8" x14ac:dyDescent="0.25">
      <c r="A71" s="9"/>
      <c r="B71" s="9"/>
      <c r="C71" s="310"/>
      <c r="D71" s="311" t="e">
        <f t="shared" si="1"/>
        <v>#DIV/0!</v>
      </c>
    </row>
    <row r="72" spans="1:4" ht="13.8" x14ac:dyDescent="0.25">
      <c r="A72" s="9"/>
      <c r="B72" s="9"/>
      <c r="C72" s="310"/>
      <c r="D72" s="311" t="e">
        <f t="shared" si="1"/>
        <v>#DIV/0!</v>
      </c>
    </row>
    <row r="73" spans="1:4" ht="13.8" x14ac:dyDescent="0.25">
      <c r="A73" s="9"/>
      <c r="B73" s="9"/>
      <c r="C73" s="310"/>
      <c r="D73" s="311" t="e">
        <f t="shared" si="1"/>
        <v>#DIV/0!</v>
      </c>
    </row>
    <row r="74" spans="1:4" ht="13.8" x14ac:dyDescent="0.25">
      <c r="A74" s="9"/>
      <c r="B74" s="9"/>
      <c r="C74" s="310"/>
      <c r="D74" s="311" t="e">
        <f t="shared" si="1"/>
        <v>#DIV/0!</v>
      </c>
    </row>
    <row r="75" spans="1:4" ht="13.8" x14ac:dyDescent="0.25">
      <c r="A75" s="9"/>
      <c r="B75" s="9"/>
      <c r="C75" s="310"/>
      <c r="D75" s="311" t="e">
        <f t="shared" si="1"/>
        <v>#DIV/0!</v>
      </c>
    </row>
    <row r="76" spans="1:4" ht="13.8" x14ac:dyDescent="0.25">
      <c r="A76" s="9"/>
      <c r="B76" s="9"/>
      <c r="C76" s="310"/>
      <c r="D76" s="311" t="e">
        <f t="shared" si="1"/>
        <v>#DIV/0!</v>
      </c>
    </row>
    <row r="77" spans="1:4" ht="13.8" x14ac:dyDescent="0.25">
      <c r="A77" s="9"/>
      <c r="B77" s="9"/>
      <c r="C77" s="310"/>
      <c r="D77" s="311" t="e">
        <f t="shared" si="1"/>
        <v>#DIV/0!</v>
      </c>
    </row>
    <row r="78" spans="1:4" ht="13.8" x14ac:dyDescent="0.25">
      <c r="A78" s="9"/>
      <c r="B78" s="9"/>
      <c r="C78" s="310"/>
      <c r="D78" s="311" t="e">
        <f t="shared" si="1"/>
        <v>#DIV/0!</v>
      </c>
    </row>
    <row r="79" spans="1:4" ht="13.8" x14ac:dyDescent="0.25">
      <c r="A79" s="9"/>
      <c r="B79" s="9"/>
      <c r="C79" s="310"/>
      <c r="D79" s="311" t="e">
        <f t="shared" si="1"/>
        <v>#DIV/0!</v>
      </c>
    </row>
    <row r="80" spans="1:4" ht="13.8" x14ac:dyDescent="0.25">
      <c r="A80" s="9"/>
      <c r="B80" s="9"/>
      <c r="C80" s="310"/>
      <c r="D80" s="311" t="e">
        <f t="shared" si="1"/>
        <v>#DIV/0!</v>
      </c>
    </row>
    <row r="81" spans="1:4" ht="13.8" x14ac:dyDescent="0.25">
      <c r="A81" s="9"/>
      <c r="B81" s="9"/>
      <c r="C81" s="310"/>
      <c r="D81" s="311" t="e">
        <f t="shared" si="1"/>
        <v>#DIV/0!</v>
      </c>
    </row>
    <row r="82" spans="1:4" ht="13.8" x14ac:dyDescent="0.25">
      <c r="A82" s="9"/>
      <c r="B82" s="9"/>
      <c r="C82" s="310"/>
      <c r="D82" s="311" t="e">
        <f t="shared" si="1"/>
        <v>#DIV/0!</v>
      </c>
    </row>
    <row r="83" spans="1:4" ht="13.8" x14ac:dyDescent="0.25">
      <c r="A83" s="9"/>
      <c r="B83" s="9"/>
      <c r="C83" s="310"/>
      <c r="D83" s="311" t="e">
        <f t="shared" si="1"/>
        <v>#DIV/0!</v>
      </c>
    </row>
    <row r="84" spans="1:4" ht="13.8" x14ac:dyDescent="0.25">
      <c r="A84" s="9"/>
      <c r="B84" s="9"/>
      <c r="C84" s="310"/>
      <c r="D84" s="311" t="e">
        <f t="shared" si="1"/>
        <v>#DIV/0!</v>
      </c>
    </row>
    <row r="85" spans="1:4" ht="13.8" x14ac:dyDescent="0.25">
      <c r="A85" s="9"/>
      <c r="B85" s="9"/>
      <c r="C85" s="310"/>
      <c r="D85" s="311" t="e">
        <f t="shared" si="1"/>
        <v>#DIV/0!</v>
      </c>
    </row>
    <row r="86" spans="1:4" ht="13.8" x14ac:dyDescent="0.25">
      <c r="A86" s="9"/>
      <c r="B86" s="9"/>
      <c r="C86" s="310"/>
      <c r="D86" s="311" t="e">
        <f t="shared" si="1"/>
        <v>#DIV/0!</v>
      </c>
    </row>
    <row r="87" spans="1:4" ht="13.8" x14ac:dyDescent="0.25">
      <c r="A87" s="9"/>
      <c r="B87" s="9"/>
      <c r="C87" s="310"/>
      <c r="D87" s="311" t="e">
        <f t="shared" si="1"/>
        <v>#DIV/0!</v>
      </c>
    </row>
    <row r="88" spans="1:4" ht="13.8" x14ac:dyDescent="0.25">
      <c r="A88" s="9"/>
      <c r="B88" s="9"/>
      <c r="C88" s="310"/>
      <c r="D88" s="311" t="e">
        <f t="shared" si="1"/>
        <v>#DIV/0!</v>
      </c>
    </row>
    <row r="89" spans="1:4" ht="13.8" x14ac:dyDescent="0.25">
      <c r="A89" s="9"/>
      <c r="B89" s="9"/>
      <c r="C89" s="310"/>
      <c r="D89" s="311" t="e">
        <f t="shared" si="1"/>
        <v>#DIV/0!</v>
      </c>
    </row>
    <row r="90" spans="1:4" ht="13.8" x14ac:dyDescent="0.25">
      <c r="A90" s="9"/>
      <c r="B90" s="9"/>
      <c r="C90" s="310"/>
      <c r="D90" s="311" t="e">
        <f t="shared" si="1"/>
        <v>#DIV/0!</v>
      </c>
    </row>
    <row r="91" spans="1:4" ht="13.8" x14ac:dyDescent="0.25">
      <c r="A91" s="9"/>
      <c r="B91" s="9"/>
      <c r="C91" s="310"/>
      <c r="D91" s="311" t="e">
        <f t="shared" si="1"/>
        <v>#DIV/0!</v>
      </c>
    </row>
    <row r="92" spans="1:4" ht="13.8" x14ac:dyDescent="0.25">
      <c r="A92" s="9"/>
      <c r="B92" s="9"/>
      <c r="C92" s="310"/>
      <c r="D92" s="311" t="e">
        <f t="shared" si="1"/>
        <v>#DIV/0!</v>
      </c>
    </row>
    <row r="93" spans="1:4" ht="13.8" x14ac:dyDescent="0.25">
      <c r="A93" s="9"/>
      <c r="B93" s="9"/>
      <c r="C93" s="310"/>
      <c r="D93" s="311" t="e">
        <f t="shared" si="1"/>
        <v>#DIV/0!</v>
      </c>
    </row>
    <row r="94" spans="1:4" ht="13.8" x14ac:dyDescent="0.25">
      <c r="A94" s="9"/>
      <c r="B94" s="9"/>
      <c r="C94" s="310"/>
      <c r="D94" s="311" t="e">
        <f t="shared" si="1"/>
        <v>#DIV/0!</v>
      </c>
    </row>
    <row r="95" spans="1:4" ht="13.8" x14ac:dyDescent="0.25">
      <c r="A95" s="9"/>
      <c r="B95" s="9"/>
      <c r="C95" s="310"/>
      <c r="D95" s="311" t="e">
        <f t="shared" si="1"/>
        <v>#DIV/0!</v>
      </c>
    </row>
    <row r="96" spans="1:4" ht="13.8" x14ac:dyDescent="0.25">
      <c r="A96" s="9"/>
      <c r="B96" s="9"/>
      <c r="C96" s="310"/>
      <c r="D96" s="311" t="e">
        <f t="shared" si="1"/>
        <v>#DIV/0!</v>
      </c>
    </row>
    <row r="97" spans="1:4" ht="13.8" x14ac:dyDescent="0.25">
      <c r="A97" s="9"/>
      <c r="B97" s="9"/>
      <c r="C97" s="310"/>
      <c r="D97" s="311" t="e">
        <f t="shared" si="1"/>
        <v>#DIV/0!</v>
      </c>
    </row>
    <row r="98" spans="1:4" ht="13.8" x14ac:dyDescent="0.25">
      <c r="A98" s="9"/>
      <c r="B98" s="9"/>
      <c r="C98" s="310"/>
      <c r="D98" s="311" t="e">
        <f t="shared" si="1"/>
        <v>#DIV/0!</v>
      </c>
    </row>
    <row r="99" spans="1:4" ht="13.8" x14ac:dyDescent="0.25">
      <c r="A99" s="9"/>
      <c r="B99" s="9"/>
      <c r="C99" s="310"/>
      <c r="D99" s="311" t="e">
        <f t="shared" si="1"/>
        <v>#DIV/0!</v>
      </c>
    </row>
    <row r="100" spans="1:4" ht="13.8" x14ac:dyDescent="0.25">
      <c r="A100" s="9"/>
      <c r="B100" s="9"/>
      <c r="C100" s="310"/>
      <c r="D100" s="311" t="e">
        <f t="shared" si="1"/>
        <v>#DIV/0!</v>
      </c>
    </row>
    <row r="101" spans="1:4" ht="13.8" x14ac:dyDescent="0.25">
      <c r="A101" s="9"/>
      <c r="B101" s="9"/>
      <c r="C101" s="310"/>
      <c r="D101" s="311" t="e">
        <f t="shared" si="1"/>
        <v>#DIV/0!</v>
      </c>
    </row>
    <row r="102" spans="1:4" ht="13.8" x14ac:dyDescent="0.25">
      <c r="A102" s="9"/>
      <c r="B102" s="9"/>
      <c r="C102" s="310"/>
      <c r="D102" s="311" t="e">
        <f t="shared" si="1"/>
        <v>#DIV/0!</v>
      </c>
    </row>
    <row r="103" spans="1:4" ht="13.8" x14ac:dyDescent="0.25">
      <c r="A103" s="9"/>
      <c r="B103" s="9"/>
      <c r="C103" s="310"/>
      <c r="D103" s="311" t="e">
        <f t="shared" si="1"/>
        <v>#DIV/0!</v>
      </c>
    </row>
    <row r="104" spans="1:4" ht="13.8" x14ac:dyDescent="0.25">
      <c r="A104" s="9"/>
      <c r="B104" s="9"/>
      <c r="C104" s="310"/>
      <c r="D104" s="311" t="e">
        <f t="shared" si="1"/>
        <v>#DIV/0!</v>
      </c>
    </row>
    <row r="105" spans="1:4" ht="13.8" x14ac:dyDescent="0.25">
      <c r="A105" s="9"/>
      <c r="B105" s="9"/>
      <c r="C105" s="310"/>
      <c r="D105" s="311" t="e">
        <f t="shared" si="1"/>
        <v>#DIV/0!</v>
      </c>
    </row>
    <row r="106" spans="1:4" ht="13.8" x14ac:dyDescent="0.25">
      <c r="A106" s="9"/>
      <c r="B106" s="9"/>
      <c r="C106" s="310"/>
      <c r="D106" s="311" t="e">
        <f t="shared" si="1"/>
        <v>#DIV/0!</v>
      </c>
    </row>
    <row r="107" spans="1:4" ht="13.8" x14ac:dyDescent="0.25">
      <c r="A107" s="9"/>
      <c r="B107" s="9"/>
      <c r="C107" s="310"/>
      <c r="D107" s="311" t="e">
        <f t="shared" si="1"/>
        <v>#DIV/0!</v>
      </c>
    </row>
    <row r="108" spans="1:4" ht="13.8" x14ac:dyDescent="0.25">
      <c r="A108" s="9"/>
      <c r="B108" s="9"/>
      <c r="C108" s="310"/>
      <c r="D108" s="311" t="e">
        <f t="shared" si="1"/>
        <v>#DIV/0!</v>
      </c>
    </row>
    <row r="109" spans="1:4" ht="13.8" x14ac:dyDescent="0.25">
      <c r="A109" s="9"/>
      <c r="B109" s="9"/>
      <c r="C109" s="310"/>
      <c r="D109" s="311" t="e">
        <f t="shared" si="1"/>
        <v>#DIV/0!</v>
      </c>
    </row>
    <row r="110" spans="1:4" ht="13.8" x14ac:dyDescent="0.25">
      <c r="A110" s="9"/>
      <c r="B110" s="9"/>
      <c r="C110" s="310"/>
      <c r="D110" s="311" t="e">
        <f t="shared" si="1"/>
        <v>#DIV/0!</v>
      </c>
    </row>
    <row r="111" spans="1:4" ht="13.8" x14ac:dyDescent="0.25">
      <c r="A111" s="9"/>
      <c r="B111" s="9"/>
      <c r="C111" s="310"/>
      <c r="D111" s="311" t="e">
        <f t="shared" si="1"/>
        <v>#DIV/0!</v>
      </c>
    </row>
    <row r="112" spans="1:4" ht="13.8" x14ac:dyDescent="0.25">
      <c r="A112" s="9"/>
      <c r="B112" s="9"/>
      <c r="C112" s="310"/>
      <c r="D112" s="311" t="e">
        <f t="shared" si="1"/>
        <v>#DIV/0!</v>
      </c>
    </row>
    <row r="113" spans="1:4" ht="13.8" x14ac:dyDescent="0.25">
      <c r="A113" s="9"/>
      <c r="B113" s="9"/>
      <c r="C113" s="310"/>
      <c r="D113" s="311" t="e">
        <f t="shared" si="1"/>
        <v>#DIV/0!</v>
      </c>
    </row>
    <row r="114" spans="1:4" ht="13.8" x14ac:dyDescent="0.25">
      <c r="A114" s="9"/>
      <c r="B114" s="9"/>
      <c r="C114" s="310"/>
      <c r="D114" s="311" t="e">
        <f t="shared" si="1"/>
        <v>#DIV/0!</v>
      </c>
    </row>
    <row r="115" spans="1:4" ht="13.8" x14ac:dyDescent="0.25">
      <c r="A115" s="9"/>
      <c r="B115" s="9"/>
      <c r="C115" s="310"/>
      <c r="D115" s="311" t="e">
        <f t="shared" si="1"/>
        <v>#DIV/0!</v>
      </c>
    </row>
    <row r="116" spans="1:4" ht="13.8" x14ac:dyDescent="0.25">
      <c r="A116" s="9"/>
      <c r="B116" s="9"/>
      <c r="C116" s="310"/>
      <c r="D116" s="311" t="e">
        <f t="shared" si="1"/>
        <v>#DIV/0!</v>
      </c>
    </row>
    <row r="117" spans="1:4" ht="13.8" x14ac:dyDescent="0.25">
      <c r="A117" s="9"/>
      <c r="B117" s="9"/>
      <c r="C117" s="310"/>
      <c r="D117" s="311" t="e">
        <f t="shared" si="1"/>
        <v>#DIV/0!</v>
      </c>
    </row>
    <row r="118" spans="1:4" ht="13.8" x14ac:dyDescent="0.25">
      <c r="A118" s="9"/>
      <c r="B118" s="9"/>
      <c r="C118" s="310"/>
      <c r="D118" s="311" t="e">
        <f t="shared" si="1"/>
        <v>#DIV/0!</v>
      </c>
    </row>
    <row r="119" spans="1:4" ht="13.8" x14ac:dyDescent="0.25">
      <c r="A119" s="9"/>
      <c r="B119" s="9"/>
      <c r="C119" s="310"/>
      <c r="D119" s="311" t="e">
        <f t="shared" si="1"/>
        <v>#DIV/0!</v>
      </c>
    </row>
    <row r="120" spans="1:4" ht="13.8" x14ac:dyDescent="0.25">
      <c r="A120" s="9"/>
      <c r="B120" s="9"/>
      <c r="C120" s="310"/>
      <c r="D120" s="311" t="e">
        <f t="shared" si="1"/>
        <v>#DIV/0!</v>
      </c>
    </row>
    <row r="121" spans="1:4" ht="13.8" x14ac:dyDescent="0.25">
      <c r="A121" s="9"/>
      <c r="B121" s="9"/>
      <c r="C121" s="310"/>
      <c r="D121" s="311" t="e">
        <f t="shared" si="1"/>
        <v>#DIV/0!</v>
      </c>
    </row>
    <row r="122" spans="1:4" ht="13.8" x14ac:dyDescent="0.25">
      <c r="A122" s="9"/>
      <c r="B122" s="9"/>
      <c r="C122" s="310"/>
      <c r="D122" s="311" t="e">
        <f t="shared" si="1"/>
        <v>#DIV/0!</v>
      </c>
    </row>
    <row r="123" spans="1:4" ht="13.8" x14ac:dyDescent="0.25">
      <c r="A123" s="9"/>
      <c r="B123" s="9"/>
      <c r="C123" s="310"/>
      <c r="D123" s="311" t="e">
        <f t="shared" si="1"/>
        <v>#DIV/0!</v>
      </c>
    </row>
    <row r="124" spans="1:4" ht="13.8" x14ac:dyDescent="0.25">
      <c r="A124" s="9"/>
      <c r="B124" s="9"/>
      <c r="C124" s="310"/>
      <c r="D124" s="311" t="e">
        <f t="shared" si="1"/>
        <v>#DIV/0!</v>
      </c>
    </row>
    <row r="125" spans="1:4" ht="13.8" x14ac:dyDescent="0.25">
      <c r="A125" s="9"/>
      <c r="B125" s="9"/>
      <c r="C125" s="310"/>
      <c r="D125" s="311" t="e">
        <f t="shared" si="1"/>
        <v>#DIV/0!</v>
      </c>
    </row>
    <row r="126" spans="1:4" ht="13.8" x14ac:dyDescent="0.25">
      <c r="A126" s="9"/>
      <c r="B126" s="9"/>
      <c r="C126" s="310"/>
      <c r="D126" s="311" t="e">
        <f t="shared" si="1"/>
        <v>#DIV/0!</v>
      </c>
    </row>
    <row r="127" spans="1:4" ht="13.8" x14ac:dyDescent="0.25">
      <c r="A127" s="9"/>
      <c r="B127" s="9"/>
      <c r="C127" s="310"/>
      <c r="D127" s="311" t="e">
        <f t="shared" si="1"/>
        <v>#DIV/0!</v>
      </c>
    </row>
    <row r="128" spans="1:4" ht="13.8" x14ac:dyDescent="0.25">
      <c r="A128" s="9"/>
      <c r="B128" s="9"/>
      <c r="C128" s="310"/>
      <c r="D128" s="311" t="e">
        <f t="shared" si="1"/>
        <v>#DIV/0!</v>
      </c>
    </row>
    <row r="129" spans="1:4" ht="13.8" x14ac:dyDescent="0.25">
      <c r="A129" s="9"/>
      <c r="B129" s="9"/>
      <c r="C129" s="310"/>
      <c r="D129" s="311" t="e">
        <f t="shared" si="1"/>
        <v>#DIV/0!</v>
      </c>
    </row>
    <row r="130" spans="1:4" ht="13.8" x14ac:dyDescent="0.25">
      <c r="A130" s="9"/>
      <c r="B130" s="9"/>
      <c r="C130" s="310"/>
      <c r="D130" s="311" t="e">
        <f t="shared" si="1"/>
        <v>#DIV/0!</v>
      </c>
    </row>
    <row r="131" spans="1:4" ht="13.8" x14ac:dyDescent="0.25">
      <c r="A131" s="9"/>
      <c r="B131" s="9"/>
      <c r="C131" s="310"/>
      <c r="D131" s="311" t="e">
        <f t="shared" ref="D131:D194" si="2">C131/B131</f>
        <v>#DIV/0!</v>
      </c>
    </row>
    <row r="132" spans="1:4" ht="13.8" x14ac:dyDescent="0.25">
      <c r="A132" s="9"/>
      <c r="B132" s="9"/>
      <c r="C132" s="310"/>
      <c r="D132" s="311" t="e">
        <f t="shared" si="2"/>
        <v>#DIV/0!</v>
      </c>
    </row>
    <row r="133" spans="1:4" ht="13.8" x14ac:dyDescent="0.25">
      <c r="A133" s="9"/>
      <c r="B133" s="9"/>
      <c r="C133" s="310"/>
      <c r="D133" s="311" t="e">
        <f t="shared" si="2"/>
        <v>#DIV/0!</v>
      </c>
    </row>
    <row r="134" spans="1:4" ht="13.8" x14ac:dyDescent="0.25">
      <c r="A134" s="9"/>
      <c r="B134" s="9"/>
      <c r="C134" s="310"/>
      <c r="D134" s="311" t="e">
        <f t="shared" si="2"/>
        <v>#DIV/0!</v>
      </c>
    </row>
    <row r="135" spans="1:4" ht="13.8" x14ac:dyDescent="0.25">
      <c r="A135" s="9"/>
      <c r="B135" s="9"/>
      <c r="C135" s="310"/>
      <c r="D135" s="311" t="e">
        <f t="shared" si="2"/>
        <v>#DIV/0!</v>
      </c>
    </row>
    <row r="136" spans="1:4" ht="13.8" x14ac:dyDescent="0.25">
      <c r="A136" s="9"/>
      <c r="B136" s="9"/>
      <c r="C136" s="310"/>
      <c r="D136" s="311" t="e">
        <f t="shared" si="2"/>
        <v>#DIV/0!</v>
      </c>
    </row>
    <row r="137" spans="1:4" ht="13.8" x14ac:dyDescent="0.25">
      <c r="A137" s="9"/>
      <c r="B137" s="9"/>
      <c r="C137" s="310"/>
      <c r="D137" s="311" t="e">
        <f t="shared" si="2"/>
        <v>#DIV/0!</v>
      </c>
    </row>
    <row r="138" spans="1:4" ht="13.8" x14ac:dyDescent="0.25">
      <c r="A138" s="9"/>
      <c r="B138" s="9"/>
      <c r="C138" s="310"/>
      <c r="D138" s="311" t="e">
        <f t="shared" si="2"/>
        <v>#DIV/0!</v>
      </c>
    </row>
    <row r="139" spans="1:4" ht="13.8" x14ac:dyDescent="0.25">
      <c r="A139" s="9"/>
      <c r="B139" s="9"/>
      <c r="C139" s="310"/>
      <c r="D139" s="311" t="e">
        <f t="shared" si="2"/>
        <v>#DIV/0!</v>
      </c>
    </row>
    <row r="140" spans="1:4" ht="13.8" x14ac:dyDescent="0.25">
      <c r="A140" s="9"/>
      <c r="B140" s="9"/>
      <c r="C140" s="310"/>
      <c r="D140" s="311" t="e">
        <f t="shared" si="2"/>
        <v>#DIV/0!</v>
      </c>
    </row>
    <row r="141" spans="1:4" ht="13.8" x14ac:dyDescent="0.25">
      <c r="A141" s="9"/>
      <c r="B141" s="9"/>
      <c r="C141" s="310"/>
      <c r="D141" s="311" t="e">
        <f t="shared" si="2"/>
        <v>#DIV/0!</v>
      </c>
    </row>
    <row r="142" spans="1:4" ht="13.8" x14ac:dyDescent="0.25">
      <c r="A142" s="9"/>
      <c r="B142" s="9"/>
      <c r="C142" s="310"/>
      <c r="D142" s="311" t="e">
        <f t="shared" si="2"/>
        <v>#DIV/0!</v>
      </c>
    </row>
    <row r="143" spans="1:4" ht="13.8" x14ac:dyDescent="0.25">
      <c r="A143" s="9"/>
      <c r="B143" s="9"/>
      <c r="C143" s="310"/>
      <c r="D143" s="311" t="e">
        <f t="shared" si="2"/>
        <v>#DIV/0!</v>
      </c>
    </row>
    <row r="144" spans="1:4" ht="13.8" x14ac:dyDescent="0.25">
      <c r="A144" s="9"/>
      <c r="B144" s="9"/>
      <c r="C144" s="310"/>
      <c r="D144" s="311" t="e">
        <f t="shared" si="2"/>
        <v>#DIV/0!</v>
      </c>
    </row>
    <row r="145" spans="1:4" ht="13.8" x14ac:dyDescent="0.25">
      <c r="A145" s="9"/>
      <c r="B145" s="9"/>
      <c r="C145" s="310"/>
      <c r="D145" s="311" t="e">
        <f t="shared" si="2"/>
        <v>#DIV/0!</v>
      </c>
    </row>
    <row r="146" spans="1:4" ht="13.8" x14ac:dyDescent="0.25">
      <c r="A146" s="9"/>
      <c r="B146" s="9"/>
      <c r="C146" s="310"/>
      <c r="D146" s="311" t="e">
        <f t="shared" si="2"/>
        <v>#DIV/0!</v>
      </c>
    </row>
    <row r="147" spans="1:4" ht="13.8" x14ac:dyDescent="0.25">
      <c r="A147" s="9"/>
      <c r="B147" s="9"/>
      <c r="C147" s="310"/>
      <c r="D147" s="311" t="e">
        <f t="shared" si="2"/>
        <v>#DIV/0!</v>
      </c>
    </row>
    <row r="148" spans="1:4" ht="13.8" x14ac:dyDescent="0.25">
      <c r="A148" s="9"/>
      <c r="B148" s="9"/>
      <c r="C148" s="310"/>
      <c r="D148" s="311" t="e">
        <f t="shared" si="2"/>
        <v>#DIV/0!</v>
      </c>
    </row>
    <row r="149" spans="1:4" ht="13.8" x14ac:dyDescent="0.25">
      <c r="A149" s="9"/>
      <c r="B149" s="9"/>
      <c r="C149" s="310"/>
      <c r="D149" s="311" t="e">
        <f t="shared" si="2"/>
        <v>#DIV/0!</v>
      </c>
    </row>
    <row r="150" spans="1:4" ht="13.8" x14ac:dyDescent="0.25">
      <c r="A150" s="9"/>
      <c r="B150" s="9"/>
      <c r="C150" s="310"/>
      <c r="D150" s="311" t="e">
        <f t="shared" si="2"/>
        <v>#DIV/0!</v>
      </c>
    </row>
    <row r="151" spans="1:4" ht="13.8" x14ac:dyDescent="0.25">
      <c r="A151" s="9"/>
      <c r="B151" s="9"/>
      <c r="C151" s="310"/>
      <c r="D151" s="311" t="e">
        <f t="shared" si="2"/>
        <v>#DIV/0!</v>
      </c>
    </row>
    <row r="152" spans="1:4" ht="13.8" x14ac:dyDescent="0.25">
      <c r="A152" s="9"/>
      <c r="B152" s="9"/>
      <c r="C152" s="310"/>
      <c r="D152" s="311" t="e">
        <f t="shared" si="2"/>
        <v>#DIV/0!</v>
      </c>
    </row>
    <row r="153" spans="1:4" ht="13.8" x14ac:dyDescent="0.25">
      <c r="A153" s="9"/>
      <c r="B153" s="9"/>
      <c r="C153" s="310"/>
      <c r="D153" s="311" t="e">
        <f t="shared" si="2"/>
        <v>#DIV/0!</v>
      </c>
    </row>
    <row r="154" spans="1:4" ht="13.8" x14ac:dyDescent="0.25">
      <c r="A154" s="9"/>
      <c r="B154" s="9"/>
      <c r="C154" s="310"/>
      <c r="D154" s="311" t="e">
        <f t="shared" si="2"/>
        <v>#DIV/0!</v>
      </c>
    </row>
    <row r="155" spans="1:4" ht="13.8" x14ac:dyDescent="0.25">
      <c r="A155" s="9"/>
      <c r="B155" s="9"/>
      <c r="C155" s="310"/>
      <c r="D155" s="311" t="e">
        <f t="shared" si="2"/>
        <v>#DIV/0!</v>
      </c>
    </row>
    <row r="156" spans="1:4" ht="13.8" x14ac:dyDescent="0.25">
      <c r="A156" s="9"/>
      <c r="B156" s="9"/>
      <c r="C156" s="310"/>
      <c r="D156" s="311" t="e">
        <f t="shared" si="2"/>
        <v>#DIV/0!</v>
      </c>
    </row>
    <row r="157" spans="1:4" ht="13.8" x14ac:dyDescent="0.25">
      <c r="A157" s="9"/>
      <c r="B157" s="9"/>
      <c r="C157" s="310"/>
      <c r="D157" s="311" t="e">
        <f t="shared" si="2"/>
        <v>#DIV/0!</v>
      </c>
    </row>
    <row r="158" spans="1:4" ht="13.8" x14ac:dyDescent="0.25">
      <c r="A158" s="9"/>
      <c r="B158" s="9"/>
      <c r="C158" s="310"/>
      <c r="D158" s="311" t="e">
        <f t="shared" si="2"/>
        <v>#DIV/0!</v>
      </c>
    </row>
    <row r="159" spans="1:4" ht="13.8" x14ac:dyDescent="0.25">
      <c r="A159" s="9"/>
      <c r="B159" s="9"/>
      <c r="C159" s="310"/>
      <c r="D159" s="311" t="e">
        <f t="shared" si="2"/>
        <v>#DIV/0!</v>
      </c>
    </row>
    <row r="160" spans="1:4" ht="13.8" x14ac:dyDescent="0.25">
      <c r="A160" s="9"/>
      <c r="B160" s="9"/>
      <c r="C160" s="310"/>
      <c r="D160" s="311" t="e">
        <f t="shared" si="2"/>
        <v>#DIV/0!</v>
      </c>
    </row>
    <row r="161" spans="1:4" ht="13.8" x14ac:dyDescent="0.25">
      <c r="A161" s="9"/>
      <c r="B161" s="9"/>
      <c r="C161" s="310"/>
      <c r="D161" s="311" t="e">
        <f t="shared" si="2"/>
        <v>#DIV/0!</v>
      </c>
    </row>
    <row r="162" spans="1:4" ht="13.8" x14ac:dyDescent="0.25">
      <c r="A162" s="9"/>
      <c r="B162" s="9"/>
      <c r="C162" s="310"/>
      <c r="D162" s="311" t="e">
        <f t="shared" si="2"/>
        <v>#DIV/0!</v>
      </c>
    </row>
    <row r="163" spans="1:4" ht="13.8" x14ac:dyDescent="0.25">
      <c r="A163" s="9"/>
      <c r="B163" s="9"/>
      <c r="C163" s="310"/>
      <c r="D163" s="311" t="e">
        <f t="shared" si="2"/>
        <v>#DIV/0!</v>
      </c>
    </row>
    <row r="164" spans="1:4" ht="13.8" x14ac:dyDescent="0.25">
      <c r="A164" s="9"/>
      <c r="B164" s="9"/>
      <c r="C164" s="310"/>
      <c r="D164" s="311" t="e">
        <f t="shared" si="2"/>
        <v>#DIV/0!</v>
      </c>
    </row>
    <row r="165" spans="1:4" ht="13.8" x14ac:dyDescent="0.25">
      <c r="A165" s="9"/>
      <c r="B165" s="9"/>
      <c r="C165" s="310"/>
      <c r="D165" s="311" t="e">
        <f t="shared" si="2"/>
        <v>#DIV/0!</v>
      </c>
    </row>
    <row r="166" spans="1:4" ht="13.8" x14ac:dyDescent="0.25">
      <c r="A166" s="9"/>
      <c r="B166" s="9"/>
      <c r="C166" s="310"/>
      <c r="D166" s="311" t="e">
        <f t="shared" si="2"/>
        <v>#DIV/0!</v>
      </c>
    </row>
    <row r="167" spans="1:4" ht="13.8" x14ac:dyDescent="0.25">
      <c r="A167" s="9"/>
      <c r="B167" s="9"/>
      <c r="C167" s="310"/>
      <c r="D167" s="311" t="e">
        <f t="shared" si="2"/>
        <v>#DIV/0!</v>
      </c>
    </row>
    <row r="168" spans="1:4" ht="13.8" x14ac:dyDescent="0.25">
      <c r="A168" s="9"/>
      <c r="B168" s="9"/>
      <c r="C168" s="310"/>
      <c r="D168" s="311" t="e">
        <f t="shared" si="2"/>
        <v>#DIV/0!</v>
      </c>
    </row>
    <row r="169" spans="1:4" ht="13.8" x14ac:dyDescent="0.25">
      <c r="A169" s="9"/>
      <c r="B169" s="9"/>
      <c r="C169" s="310"/>
      <c r="D169" s="311" t="e">
        <f t="shared" si="2"/>
        <v>#DIV/0!</v>
      </c>
    </row>
    <row r="170" spans="1:4" ht="13.8" x14ac:dyDescent="0.25">
      <c r="A170" s="9"/>
      <c r="B170" s="9"/>
      <c r="C170" s="310"/>
      <c r="D170" s="311" t="e">
        <f t="shared" si="2"/>
        <v>#DIV/0!</v>
      </c>
    </row>
    <row r="171" spans="1:4" ht="13.8" x14ac:dyDescent="0.25">
      <c r="A171" s="9"/>
      <c r="B171" s="9"/>
      <c r="C171" s="310"/>
      <c r="D171" s="311" t="e">
        <f t="shared" si="2"/>
        <v>#DIV/0!</v>
      </c>
    </row>
    <row r="172" spans="1:4" ht="13.8" x14ac:dyDescent="0.25">
      <c r="A172" s="9"/>
      <c r="B172" s="9"/>
      <c r="C172" s="310"/>
      <c r="D172" s="311" t="e">
        <f t="shared" si="2"/>
        <v>#DIV/0!</v>
      </c>
    </row>
    <row r="173" spans="1:4" ht="13.8" x14ac:dyDescent="0.25">
      <c r="A173" s="9"/>
      <c r="B173" s="9"/>
      <c r="C173" s="310"/>
      <c r="D173" s="311" t="e">
        <f t="shared" si="2"/>
        <v>#DIV/0!</v>
      </c>
    </row>
    <row r="174" spans="1:4" ht="13.8" x14ac:dyDescent="0.25">
      <c r="A174" s="9"/>
      <c r="B174" s="9"/>
      <c r="C174" s="310"/>
      <c r="D174" s="311" t="e">
        <f t="shared" si="2"/>
        <v>#DIV/0!</v>
      </c>
    </row>
    <row r="175" spans="1:4" ht="13.8" x14ac:dyDescent="0.25">
      <c r="A175" s="9"/>
      <c r="B175" s="9"/>
      <c r="C175" s="310"/>
      <c r="D175" s="311" t="e">
        <f t="shared" si="2"/>
        <v>#DIV/0!</v>
      </c>
    </row>
    <row r="176" spans="1:4" ht="13.8" x14ac:dyDescent="0.25">
      <c r="A176" s="9"/>
      <c r="B176" s="9"/>
      <c r="C176" s="310"/>
      <c r="D176" s="311" t="e">
        <f t="shared" si="2"/>
        <v>#DIV/0!</v>
      </c>
    </row>
    <row r="177" spans="1:4" ht="13.8" x14ac:dyDescent="0.25">
      <c r="A177" s="9"/>
      <c r="B177" s="9"/>
      <c r="C177" s="310"/>
      <c r="D177" s="311" t="e">
        <f t="shared" si="2"/>
        <v>#DIV/0!</v>
      </c>
    </row>
    <row r="178" spans="1:4" ht="13.8" x14ac:dyDescent="0.25">
      <c r="A178" s="9"/>
      <c r="B178" s="9"/>
      <c r="C178" s="310"/>
      <c r="D178" s="311" t="e">
        <f t="shared" si="2"/>
        <v>#DIV/0!</v>
      </c>
    </row>
    <row r="179" spans="1:4" ht="13.8" x14ac:dyDescent="0.25">
      <c r="A179" s="9"/>
      <c r="B179" s="9"/>
      <c r="C179" s="310"/>
      <c r="D179" s="311" t="e">
        <f t="shared" si="2"/>
        <v>#DIV/0!</v>
      </c>
    </row>
    <row r="180" spans="1:4" ht="13.8" x14ac:dyDescent="0.25">
      <c r="A180" s="9"/>
      <c r="B180" s="9"/>
      <c r="C180" s="310"/>
      <c r="D180" s="311" t="e">
        <f t="shared" si="2"/>
        <v>#DIV/0!</v>
      </c>
    </row>
    <row r="181" spans="1:4" ht="13.8" x14ac:dyDescent="0.25">
      <c r="A181" s="9"/>
      <c r="B181" s="9"/>
      <c r="C181" s="310"/>
      <c r="D181" s="311" t="e">
        <f t="shared" si="2"/>
        <v>#DIV/0!</v>
      </c>
    </row>
    <row r="182" spans="1:4" ht="13.8" x14ac:dyDescent="0.25">
      <c r="A182" s="9"/>
      <c r="B182" s="9"/>
      <c r="C182" s="310"/>
      <c r="D182" s="311" t="e">
        <f t="shared" si="2"/>
        <v>#DIV/0!</v>
      </c>
    </row>
    <row r="183" spans="1:4" ht="13.8" x14ac:dyDescent="0.25">
      <c r="A183" s="9"/>
      <c r="B183" s="9"/>
      <c r="C183" s="310"/>
      <c r="D183" s="311" t="e">
        <f t="shared" si="2"/>
        <v>#DIV/0!</v>
      </c>
    </row>
    <row r="184" spans="1:4" ht="13.8" x14ac:dyDescent="0.25">
      <c r="A184" s="9"/>
      <c r="B184" s="9"/>
      <c r="C184" s="310"/>
      <c r="D184" s="311" t="e">
        <f t="shared" si="2"/>
        <v>#DIV/0!</v>
      </c>
    </row>
    <row r="185" spans="1:4" ht="13.8" x14ac:dyDescent="0.25">
      <c r="A185" s="9"/>
      <c r="B185" s="9"/>
      <c r="C185" s="310"/>
      <c r="D185" s="311" t="e">
        <f t="shared" si="2"/>
        <v>#DIV/0!</v>
      </c>
    </row>
    <row r="186" spans="1:4" ht="13.8" x14ac:dyDescent="0.25">
      <c r="A186" s="9"/>
      <c r="B186" s="9"/>
      <c r="C186" s="310"/>
      <c r="D186" s="311" t="e">
        <f t="shared" si="2"/>
        <v>#DIV/0!</v>
      </c>
    </row>
    <row r="187" spans="1:4" ht="13.8" x14ac:dyDescent="0.25">
      <c r="A187" s="9"/>
      <c r="B187" s="9"/>
      <c r="C187" s="310"/>
      <c r="D187" s="311" t="e">
        <f t="shared" si="2"/>
        <v>#DIV/0!</v>
      </c>
    </row>
    <row r="188" spans="1:4" ht="13.8" x14ac:dyDescent="0.25">
      <c r="A188" s="9"/>
      <c r="B188" s="9"/>
      <c r="C188" s="310"/>
      <c r="D188" s="311" t="e">
        <f t="shared" si="2"/>
        <v>#DIV/0!</v>
      </c>
    </row>
    <row r="189" spans="1:4" ht="13.8" x14ac:dyDescent="0.25">
      <c r="A189" s="9"/>
      <c r="B189" s="9"/>
      <c r="C189" s="310"/>
      <c r="D189" s="311" t="e">
        <f t="shared" si="2"/>
        <v>#DIV/0!</v>
      </c>
    </row>
    <row r="190" spans="1:4" ht="13.8" x14ac:dyDescent="0.25">
      <c r="A190" s="9"/>
      <c r="B190" s="9"/>
      <c r="C190" s="310"/>
      <c r="D190" s="311" t="e">
        <f t="shared" si="2"/>
        <v>#DIV/0!</v>
      </c>
    </row>
    <row r="191" spans="1:4" ht="13.8" x14ac:dyDescent="0.25">
      <c r="A191" s="9"/>
      <c r="B191" s="9"/>
      <c r="C191" s="310"/>
      <c r="D191" s="311" t="e">
        <f t="shared" si="2"/>
        <v>#DIV/0!</v>
      </c>
    </row>
    <row r="192" spans="1:4" ht="13.8" x14ac:dyDescent="0.25">
      <c r="A192" s="9"/>
      <c r="B192" s="9"/>
      <c r="C192" s="310"/>
      <c r="D192" s="311" t="e">
        <f t="shared" si="2"/>
        <v>#DIV/0!</v>
      </c>
    </row>
    <row r="193" spans="1:4" ht="13.8" x14ac:dyDescent="0.25">
      <c r="A193" s="9"/>
      <c r="B193" s="9"/>
      <c r="C193" s="310"/>
      <c r="D193" s="311" t="e">
        <f t="shared" si="2"/>
        <v>#DIV/0!</v>
      </c>
    </row>
    <row r="194" spans="1:4" ht="13.8" x14ac:dyDescent="0.25">
      <c r="A194" s="9"/>
      <c r="B194" s="9"/>
      <c r="C194" s="310"/>
      <c r="D194" s="311" t="e">
        <f t="shared" si="2"/>
        <v>#DIV/0!</v>
      </c>
    </row>
    <row r="195" spans="1:4" ht="13.8" x14ac:dyDescent="0.25">
      <c r="A195" s="9"/>
      <c r="B195" s="9"/>
      <c r="C195" s="310"/>
      <c r="D195" s="311" t="e">
        <f t="shared" ref="D195:D258" si="3">C195/B195</f>
        <v>#DIV/0!</v>
      </c>
    </row>
    <row r="196" spans="1:4" ht="13.8" x14ac:dyDescent="0.25">
      <c r="A196" s="9"/>
      <c r="B196" s="9"/>
      <c r="C196" s="310"/>
      <c r="D196" s="311" t="e">
        <f t="shared" si="3"/>
        <v>#DIV/0!</v>
      </c>
    </row>
    <row r="197" spans="1:4" ht="13.8" x14ac:dyDescent="0.25">
      <c r="A197" s="9"/>
      <c r="B197" s="9"/>
      <c r="C197" s="310"/>
      <c r="D197" s="311" t="e">
        <f t="shared" si="3"/>
        <v>#DIV/0!</v>
      </c>
    </row>
    <row r="198" spans="1:4" ht="13.8" x14ac:dyDescent="0.25">
      <c r="A198" s="9"/>
      <c r="B198" s="9"/>
      <c r="C198" s="310"/>
      <c r="D198" s="311" t="e">
        <f t="shared" si="3"/>
        <v>#DIV/0!</v>
      </c>
    </row>
    <row r="199" spans="1:4" ht="13.8" x14ac:dyDescent="0.25">
      <c r="A199" s="9"/>
      <c r="B199" s="9"/>
      <c r="C199" s="310"/>
      <c r="D199" s="311" t="e">
        <f t="shared" si="3"/>
        <v>#DIV/0!</v>
      </c>
    </row>
    <row r="200" spans="1:4" ht="13.8" x14ac:dyDescent="0.25">
      <c r="A200" s="9"/>
      <c r="B200" s="9"/>
      <c r="C200" s="310"/>
      <c r="D200" s="311" t="e">
        <f t="shared" si="3"/>
        <v>#DIV/0!</v>
      </c>
    </row>
    <row r="201" spans="1:4" ht="13.8" x14ac:dyDescent="0.25">
      <c r="A201" s="9"/>
      <c r="B201" s="9"/>
      <c r="C201" s="310"/>
      <c r="D201" s="311" t="e">
        <f t="shared" si="3"/>
        <v>#DIV/0!</v>
      </c>
    </row>
    <row r="202" spans="1:4" ht="13.8" x14ac:dyDescent="0.25">
      <c r="A202" s="9"/>
      <c r="B202" s="9"/>
      <c r="C202" s="310"/>
      <c r="D202" s="311" t="e">
        <f t="shared" si="3"/>
        <v>#DIV/0!</v>
      </c>
    </row>
    <row r="203" spans="1:4" ht="13.8" x14ac:dyDescent="0.25">
      <c r="A203" s="9"/>
      <c r="B203" s="9"/>
      <c r="C203" s="310"/>
      <c r="D203" s="311" t="e">
        <f t="shared" si="3"/>
        <v>#DIV/0!</v>
      </c>
    </row>
    <row r="204" spans="1:4" ht="13.8" x14ac:dyDescent="0.25">
      <c r="A204" s="9"/>
      <c r="B204" s="9"/>
      <c r="C204" s="310"/>
      <c r="D204" s="311" t="e">
        <f t="shared" si="3"/>
        <v>#DIV/0!</v>
      </c>
    </row>
    <row r="205" spans="1:4" ht="13.8" x14ac:dyDescent="0.25">
      <c r="A205" s="9"/>
      <c r="B205" s="9"/>
      <c r="C205" s="310"/>
      <c r="D205" s="311" t="e">
        <f t="shared" si="3"/>
        <v>#DIV/0!</v>
      </c>
    </row>
    <row r="206" spans="1:4" ht="13.8" x14ac:dyDescent="0.25">
      <c r="A206" s="9"/>
      <c r="B206" s="9"/>
      <c r="C206" s="310"/>
      <c r="D206" s="311" t="e">
        <f t="shared" si="3"/>
        <v>#DIV/0!</v>
      </c>
    </row>
    <row r="207" spans="1:4" ht="13.8" x14ac:dyDescent="0.25">
      <c r="A207" s="9"/>
      <c r="B207" s="9"/>
      <c r="C207" s="310"/>
      <c r="D207" s="311" t="e">
        <f t="shared" si="3"/>
        <v>#DIV/0!</v>
      </c>
    </row>
    <row r="208" spans="1:4" ht="13.8" x14ac:dyDescent="0.25">
      <c r="A208" s="9"/>
      <c r="B208" s="9"/>
      <c r="C208" s="310"/>
      <c r="D208" s="311" t="e">
        <f t="shared" si="3"/>
        <v>#DIV/0!</v>
      </c>
    </row>
    <row r="209" spans="1:4" ht="13.8" x14ac:dyDescent="0.25">
      <c r="A209" s="9"/>
      <c r="B209" s="9"/>
      <c r="C209" s="310"/>
      <c r="D209" s="311" t="e">
        <f t="shared" si="3"/>
        <v>#DIV/0!</v>
      </c>
    </row>
    <row r="210" spans="1:4" ht="13.8" x14ac:dyDescent="0.25">
      <c r="A210" s="9"/>
      <c r="B210" s="9"/>
      <c r="C210" s="310"/>
      <c r="D210" s="311" t="e">
        <f t="shared" si="3"/>
        <v>#DIV/0!</v>
      </c>
    </row>
    <row r="211" spans="1:4" ht="13.8" x14ac:dyDescent="0.25">
      <c r="A211" s="9"/>
      <c r="B211" s="9"/>
      <c r="C211" s="310"/>
      <c r="D211" s="311" t="e">
        <f t="shared" si="3"/>
        <v>#DIV/0!</v>
      </c>
    </row>
    <row r="212" spans="1:4" ht="13.8" x14ac:dyDescent="0.25">
      <c r="A212" s="9"/>
      <c r="B212" s="9"/>
      <c r="C212" s="310"/>
      <c r="D212" s="311" t="e">
        <f t="shared" si="3"/>
        <v>#DIV/0!</v>
      </c>
    </row>
    <row r="213" spans="1:4" ht="13.8" x14ac:dyDescent="0.25">
      <c r="A213" s="9"/>
      <c r="B213" s="9"/>
      <c r="C213" s="310"/>
      <c r="D213" s="311" t="e">
        <f t="shared" si="3"/>
        <v>#DIV/0!</v>
      </c>
    </row>
    <row r="214" spans="1:4" ht="13.8" x14ac:dyDescent="0.25">
      <c r="A214" s="9"/>
      <c r="B214" s="9"/>
      <c r="C214" s="310"/>
      <c r="D214" s="311" t="e">
        <f t="shared" si="3"/>
        <v>#DIV/0!</v>
      </c>
    </row>
    <row r="215" spans="1:4" ht="13.8" x14ac:dyDescent="0.25">
      <c r="A215" s="9"/>
      <c r="B215" s="9"/>
      <c r="C215" s="310"/>
      <c r="D215" s="311" t="e">
        <f t="shared" si="3"/>
        <v>#DIV/0!</v>
      </c>
    </row>
    <row r="216" spans="1:4" ht="13.8" x14ac:dyDescent="0.25">
      <c r="A216" s="9"/>
      <c r="B216" s="9"/>
      <c r="C216" s="310"/>
      <c r="D216" s="311" t="e">
        <f t="shared" si="3"/>
        <v>#DIV/0!</v>
      </c>
    </row>
    <row r="217" spans="1:4" ht="13.8" x14ac:dyDescent="0.25">
      <c r="A217" s="9"/>
      <c r="B217" s="9"/>
      <c r="C217" s="310"/>
      <c r="D217" s="311" t="e">
        <f t="shared" si="3"/>
        <v>#DIV/0!</v>
      </c>
    </row>
    <row r="218" spans="1:4" ht="13.8" x14ac:dyDescent="0.25">
      <c r="A218" s="9"/>
      <c r="B218" s="9"/>
      <c r="C218" s="310"/>
      <c r="D218" s="311" t="e">
        <f t="shared" si="3"/>
        <v>#DIV/0!</v>
      </c>
    </row>
    <row r="219" spans="1:4" ht="13.8" x14ac:dyDescent="0.25">
      <c r="A219" s="9"/>
      <c r="B219" s="9"/>
      <c r="C219" s="310"/>
      <c r="D219" s="311" t="e">
        <f t="shared" si="3"/>
        <v>#DIV/0!</v>
      </c>
    </row>
    <row r="220" spans="1:4" ht="13.8" x14ac:dyDescent="0.25">
      <c r="A220" s="9"/>
      <c r="B220" s="9"/>
      <c r="C220" s="310"/>
      <c r="D220" s="311" t="e">
        <f t="shared" si="3"/>
        <v>#DIV/0!</v>
      </c>
    </row>
    <row r="221" spans="1:4" ht="13.8" x14ac:dyDescent="0.25">
      <c r="A221" s="9"/>
      <c r="B221" s="9"/>
      <c r="C221" s="310"/>
      <c r="D221" s="311" t="e">
        <f t="shared" si="3"/>
        <v>#DIV/0!</v>
      </c>
    </row>
    <row r="222" spans="1:4" ht="13.8" x14ac:dyDescent="0.25">
      <c r="A222" s="9"/>
      <c r="B222" s="9"/>
      <c r="C222" s="310"/>
      <c r="D222" s="311" t="e">
        <f t="shared" si="3"/>
        <v>#DIV/0!</v>
      </c>
    </row>
    <row r="223" spans="1:4" ht="13.8" x14ac:dyDescent="0.25">
      <c r="A223" s="9"/>
      <c r="B223" s="9"/>
      <c r="C223" s="310"/>
      <c r="D223" s="311" t="e">
        <f t="shared" si="3"/>
        <v>#DIV/0!</v>
      </c>
    </row>
    <row r="224" spans="1:4" ht="13.8" x14ac:dyDescent="0.25">
      <c r="A224" s="9"/>
      <c r="B224" s="9"/>
      <c r="C224" s="310"/>
      <c r="D224" s="311" t="e">
        <f t="shared" si="3"/>
        <v>#DIV/0!</v>
      </c>
    </row>
    <row r="225" spans="1:4" ht="13.8" x14ac:dyDescent="0.25">
      <c r="A225" s="9"/>
      <c r="B225" s="9"/>
      <c r="C225" s="310"/>
      <c r="D225" s="311" t="e">
        <f t="shared" si="3"/>
        <v>#DIV/0!</v>
      </c>
    </row>
    <row r="226" spans="1:4" ht="13.8" x14ac:dyDescent="0.25">
      <c r="A226" s="9"/>
      <c r="B226" s="9"/>
      <c r="C226" s="310"/>
      <c r="D226" s="311" t="e">
        <f t="shared" si="3"/>
        <v>#DIV/0!</v>
      </c>
    </row>
    <row r="227" spans="1:4" ht="13.8" x14ac:dyDescent="0.25">
      <c r="A227" s="9"/>
      <c r="B227" s="9"/>
      <c r="C227" s="310"/>
      <c r="D227" s="311" t="e">
        <f t="shared" si="3"/>
        <v>#DIV/0!</v>
      </c>
    </row>
    <row r="228" spans="1:4" ht="13.8" x14ac:dyDescent="0.25">
      <c r="A228" s="9"/>
      <c r="B228" s="9"/>
      <c r="C228" s="310"/>
      <c r="D228" s="311" t="e">
        <f t="shared" si="3"/>
        <v>#DIV/0!</v>
      </c>
    </row>
    <row r="229" spans="1:4" ht="13.8" x14ac:dyDescent="0.25">
      <c r="A229" s="9"/>
      <c r="B229" s="9"/>
      <c r="C229" s="310"/>
      <c r="D229" s="311" t="e">
        <f t="shared" si="3"/>
        <v>#DIV/0!</v>
      </c>
    </row>
    <row r="230" spans="1:4" ht="13.8" x14ac:dyDescent="0.25">
      <c r="A230" s="9"/>
      <c r="B230" s="9"/>
      <c r="C230" s="310"/>
      <c r="D230" s="311" t="e">
        <f t="shared" si="3"/>
        <v>#DIV/0!</v>
      </c>
    </row>
    <row r="231" spans="1:4" ht="13.8" x14ac:dyDescent="0.25">
      <c r="A231" s="9"/>
      <c r="B231" s="9"/>
      <c r="C231" s="310"/>
      <c r="D231" s="311" t="e">
        <f t="shared" si="3"/>
        <v>#DIV/0!</v>
      </c>
    </row>
    <row r="232" spans="1:4" ht="13.8" x14ac:dyDescent="0.25">
      <c r="A232" s="9"/>
      <c r="B232" s="9"/>
      <c r="C232" s="310"/>
      <c r="D232" s="311" t="e">
        <f t="shared" si="3"/>
        <v>#DIV/0!</v>
      </c>
    </row>
    <row r="233" spans="1:4" ht="13.8" x14ac:dyDescent="0.25">
      <c r="A233" s="9"/>
      <c r="B233" s="9"/>
      <c r="C233" s="310"/>
      <c r="D233" s="311" t="e">
        <f t="shared" si="3"/>
        <v>#DIV/0!</v>
      </c>
    </row>
    <row r="234" spans="1:4" ht="13.8" x14ac:dyDescent="0.25">
      <c r="A234" s="9"/>
      <c r="B234" s="9"/>
      <c r="C234" s="310"/>
      <c r="D234" s="311" t="e">
        <f t="shared" si="3"/>
        <v>#DIV/0!</v>
      </c>
    </row>
    <row r="235" spans="1:4" ht="13.8" x14ac:dyDescent="0.25">
      <c r="A235" s="9"/>
      <c r="B235" s="9"/>
      <c r="C235" s="310"/>
      <c r="D235" s="311" t="e">
        <f t="shared" si="3"/>
        <v>#DIV/0!</v>
      </c>
    </row>
    <row r="236" spans="1:4" ht="13.8" x14ac:dyDescent="0.25">
      <c r="A236" s="9"/>
      <c r="B236" s="9"/>
      <c r="C236" s="310"/>
      <c r="D236" s="311" t="e">
        <f t="shared" si="3"/>
        <v>#DIV/0!</v>
      </c>
    </row>
    <row r="237" spans="1:4" ht="13.8" x14ac:dyDescent="0.25">
      <c r="A237" s="9"/>
      <c r="B237" s="9"/>
      <c r="C237" s="310"/>
      <c r="D237" s="311" t="e">
        <f t="shared" si="3"/>
        <v>#DIV/0!</v>
      </c>
    </row>
    <row r="238" spans="1:4" ht="13.8" x14ac:dyDescent="0.25">
      <c r="A238" s="9"/>
      <c r="B238" s="9"/>
      <c r="C238" s="310"/>
      <c r="D238" s="311" t="e">
        <f t="shared" si="3"/>
        <v>#DIV/0!</v>
      </c>
    </row>
    <row r="239" spans="1:4" ht="13.8" x14ac:dyDescent="0.25">
      <c r="A239" s="9"/>
      <c r="B239" s="9"/>
      <c r="C239" s="310"/>
      <c r="D239" s="311" t="e">
        <f t="shared" si="3"/>
        <v>#DIV/0!</v>
      </c>
    </row>
    <row r="240" spans="1:4" ht="13.8" x14ac:dyDescent="0.25">
      <c r="A240" s="9"/>
      <c r="B240" s="9"/>
      <c r="C240" s="310"/>
      <c r="D240" s="311" t="e">
        <f t="shared" si="3"/>
        <v>#DIV/0!</v>
      </c>
    </row>
    <row r="241" spans="1:4" ht="13.8" x14ac:dyDescent="0.25">
      <c r="A241" s="9"/>
      <c r="B241" s="9"/>
      <c r="C241" s="310"/>
      <c r="D241" s="311" t="e">
        <f t="shared" si="3"/>
        <v>#DIV/0!</v>
      </c>
    </row>
    <row r="242" spans="1:4" ht="13.8" x14ac:dyDescent="0.25">
      <c r="A242" s="9"/>
      <c r="B242" s="9"/>
      <c r="C242" s="310"/>
      <c r="D242" s="311" t="e">
        <f t="shared" si="3"/>
        <v>#DIV/0!</v>
      </c>
    </row>
    <row r="243" spans="1:4" ht="13.8" x14ac:dyDescent="0.25">
      <c r="A243" s="9"/>
      <c r="B243" s="9"/>
      <c r="C243" s="310"/>
      <c r="D243" s="311" t="e">
        <f t="shared" si="3"/>
        <v>#DIV/0!</v>
      </c>
    </row>
    <row r="244" spans="1:4" ht="13.8" x14ac:dyDescent="0.25">
      <c r="A244" s="9"/>
      <c r="B244" s="9"/>
      <c r="C244" s="310"/>
      <c r="D244" s="311" t="e">
        <f t="shared" si="3"/>
        <v>#DIV/0!</v>
      </c>
    </row>
    <row r="245" spans="1:4" ht="13.8" x14ac:dyDescent="0.25">
      <c r="A245" s="9"/>
      <c r="B245" s="9"/>
      <c r="C245" s="310"/>
      <c r="D245" s="311" t="e">
        <f t="shared" si="3"/>
        <v>#DIV/0!</v>
      </c>
    </row>
    <row r="246" spans="1:4" ht="13.8" x14ac:dyDescent="0.25">
      <c r="A246" s="9"/>
      <c r="B246" s="9"/>
      <c r="C246" s="310"/>
      <c r="D246" s="311" t="e">
        <f t="shared" si="3"/>
        <v>#DIV/0!</v>
      </c>
    </row>
    <row r="247" spans="1:4" ht="13.8" x14ac:dyDescent="0.25">
      <c r="A247" s="9"/>
      <c r="B247" s="9"/>
      <c r="C247" s="310"/>
      <c r="D247" s="311" t="e">
        <f t="shared" si="3"/>
        <v>#DIV/0!</v>
      </c>
    </row>
    <row r="248" spans="1:4" ht="13.8" x14ac:dyDescent="0.25">
      <c r="A248" s="9"/>
      <c r="B248" s="9"/>
      <c r="C248" s="310"/>
      <c r="D248" s="311" t="e">
        <f t="shared" si="3"/>
        <v>#DIV/0!</v>
      </c>
    </row>
    <row r="249" spans="1:4" ht="13.8" x14ac:dyDescent="0.25">
      <c r="A249" s="9"/>
      <c r="B249" s="9"/>
      <c r="C249" s="310"/>
      <c r="D249" s="311" t="e">
        <f t="shared" si="3"/>
        <v>#DIV/0!</v>
      </c>
    </row>
    <row r="250" spans="1:4" ht="13.8" x14ac:dyDescent="0.25">
      <c r="A250" s="9"/>
      <c r="B250" s="9"/>
      <c r="C250" s="310"/>
      <c r="D250" s="311" t="e">
        <f t="shared" si="3"/>
        <v>#DIV/0!</v>
      </c>
    </row>
    <row r="251" spans="1:4" ht="13.8" x14ac:dyDescent="0.25">
      <c r="A251" s="9"/>
      <c r="B251" s="9"/>
      <c r="C251" s="310"/>
      <c r="D251" s="311" t="e">
        <f t="shared" si="3"/>
        <v>#DIV/0!</v>
      </c>
    </row>
    <row r="252" spans="1:4" ht="13.8" x14ac:dyDescent="0.25">
      <c r="A252" s="9"/>
      <c r="B252" s="9"/>
      <c r="C252" s="310"/>
      <c r="D252" s="311" t="e">
        <f t="shared" si="3"/>
        <v>#DIV/0!</v>
      </c>
    </row>
    <row r="253" spans="1:4" ht="13.8" x14ac:dyDescent="0.25">
      <c r="A253" s="9"/>
      <c r="B253" s="9"/>
      <c r="C253" s="310"/>
      <c r="D253" s="311" t="e">
        <f t="shared" si="3"/>
        <v>#DIV/0!</v>
      </c>
    </row>
    <row r="254" spans="1:4" ht="13.8" x14ac:dyDescent="0.25">
      <c r="A254" s="9"/>
      <c r="B254" s="9"/>
      <c r="C254" s="310"/>
      <c r="D254" s="311" t="e">
        <f t="shared" si="3"/>
        <v>#DIV/0!</v>
      </c>
    </row>
    <row r="255" spans="1:4" ht="13.8" x14ac:dyDescent="0.25">
      <c r="A255" s="9"/>
      <c r="B255" s="9"/>
      <c r="C255" s="310"/>
      <c r="D255" s="311" t="e">
        <f t="shared" si="3"/>
        <v>#DIV/0!</v>
      </c>
    </row>
    <row r="256" spans="1:4" ht="13.8" x14ac:dyDescent="0.25">
      <c r="A256" s="9"/>
      <c r="B256" s="9"/>
      <c r="C256" s="310"/>
      <c r="D256" s="311" t="e">
        <f t="shared" si="3"/>
        <v>#DIV/0!</v>
      </c>
    </row>
    <row r="257" spans="1:4" ht="13.8" x14ac:dyDescent="0.25">
      <c r="A257" s="9"/>
      <c r="B257" s="9"/>
      <c r="C257" s="310"/>
      <c r="D257" s="311" t="e">
        <f t="shared" si="3"/>
        <v>#DIV/0!</v>
      </c>
    </row>
    <row r="258" spans="1:4" ht="13.8" x14ac:dyDescent="0.25">
      <c r="A258" s="9"/>
      <c r="B258" s="9"/>
      <c r="C258" s="310"/>
      <c r="D258" s="311" t="e">
        <f t="shared" si="3"/>
        <v>#DIV/0!</v>
      </c>
    </row>
    <row r="259" spans="1:4" ht="13.8" x14ac:dyDescent="0.25">
      <c r="A259" s="9"/>
      <c r="B259" s="9"/>
      <c r="C259" s="310"/>
      <c r="D259" s="311" t="e">
        <f t="shared" ref="D259:D322" si="4">C259/B259</f>
        <v>#DIV/0!</v>
      </c>
    </row>
    <row r="260" spans="1:4" ht="13.8" x14ac:dyDescent="0.25">
      <c r="A260" s="9"/>
      <c r="B260" s="9"/>
      <c r="C260" s="310"/>
      <c r="D260" s="311" t="e">
        <f t="shared" si="4"/>
        <v>#DIV/0!</v>
      </c>
    </row>
    <row r="261" spans="1:4" ht="13.8" x14ac:dyDescent="0.25">
      <c r="A261" s="9"/>
      <c r="B261" s="9"/>
      <c r="C261" s="310"/>
      <c r="D261" s="311" t="e">
        <f t="shared" si="4"/>
        <v>#DIV/0!</v>
      </c>
    </row>
    <row r="262" spans="1:4" ht="13.8" x14ac:dyDescent="0.25">
      <c r="A262" s="9"/>
      <c r="B262" s="9"/>
      <c r="C262" s="310"/>
      <c r="D262" s="311" t="e">
        <f t="shared" si="4"/>
        <v>#DIV/0!</v>
      </c>
    </row>
    <row r="263" spans="1:4" ht="13.8" x14ac:dyDescent="0.25">
      <c r="A263" s="9"/>
      <c r="B263" s="9"/>
      <c r="C263" s="310"/>
      <c r="D263" s="311" t="e">
        <f t="shared" si="4"/>
        <v>#DIV/0!</v>
      </c>
    </row>
    <row r="264" spans="1:4" ht="13.8" x14ac:dyDescent="0.25">
      <c r="A264" s="9"/>
      <c r="B264" s="9"/>
      <c r="C264" s="310"/>
      <c r="D264" s="311" t="e">
        <f t="shared" si="4"/>
        <v>#DIV/0!</v>
      </c>
    </row>
    <row r="265" spans="1:4" ht="13.8" x14ac:dyDescent="0.25">
      <c r="A265" s="9"/>
      <c r="B265" s="9"/>
      <c r="C265" s="310"/>
      <c r="D265" s="311" t="e">
        <f t="shared" si="4"/>
        <v>#DIV/0!</v>
      </c>
    </row>
    <row r="266" spans="1:4" ht="13.8" x14ac:dyDescent="0.25">
      <c r="A266" s="9"/>
      <c r="B266" s="9"/>
      <c r="C266" s="310"/>
      <c r="D266" s="311" t="e">
        <f t="shared" si="4"/>
        <v>#DIV/0!</v>
      </c>
    </row>
    <row r="267" spans="1:4" ht="13.8" x14ac:dyDescent="0.25">
      <c r="A267" s="9"/>
      <c r="B267" s="9"/>
      <c r="C267" s="310"/>
      <c r="D267" s="311" t="e">
        <f t="shared" si="4"/>
        <v>#DIV/0!</v>
      </c>
    </row>
    <row r="268" spans="1:4" ht="13.8" x14ac:dyDescent="0.25">
      <c r="A268" s="9"/>
      <c r="B268" s="9"/>
      <c r="C268" s="310"/>
      <c r="D268" s="311" t="e">
        <f t="shared" si="4"/>
        <v>#DIV/0!</v>
      </c>
    </row>
    <row r="269" spans="1:4" ht="13.8" x14ac:dyDescent="0.25">
      <c r="A269" s="9"/>
      <c r="B269" s="9"/>
      <c r="C269" s="310"/>
      <c r="D269" s="311" t="e">
        <f t="shared" si="4"/>
        <v>#DIV/0!</v>
      </c>
    </row>
    <row r="270" spans="1:4" ht="13.8" x14ac:dyDescent="0.25">
      <c r="A270" s="9"/>
      <c r="B270" s="9"/>
      <c r="C270" s="310"/>
      <c r="D270" s="311" t="e">
        <f t="shared" si="4"/>
        <v>#DIV/0!</v>
      </c>
    </row>
    <row r="271" spans="1:4" ht="13.8" x14ac:dyDescent="0.25">
      <c r="A271" s="9"/>
      <c r="B271" s="9"/>
      <c r="C271" s="310"/>
      <c r="D271" s="311" t="e">
        <f t="shared" si="4"/>
        <v>#DIV/0!</v>
      </c>
    </row>
    <row r="272" spans="1:4" ht="13.8" x14ac:dyDescent="0.25">
      <c r="A272" s="9"/>
      <c r="B272" s="9"/>
      <c r="C272" s="310"/>
      <c r="D272" s="311" t="e">
        <f t="shared" si="4"/>
        <v>#DIV/0!</v>
      </c>
    </row>
    <row r="273" spans="1:4" ht="13.8" x14ac:dyDescent="0.25">
      <c r="A273" s="9"/>
      <c r="B273" s="9"/>
      <c r="C273" s="310"/>
      <c r="D273" s="311" t="e">
        <f t="shared" si="4"/>
        <v>#DIV/0!</v>
      </c>
    </row>
    <row r="274" spans="1:4" ht="13.8" x14ac:dyDescent="0.25">
      <c r="A274" s="9"/>
      <c r="B274" s="9"/>
      <c r="C274" s="310"/>
      <c r="D274" s="311" t="e">
        <f t="shared" si="4"/>
        <v>#DIV/0!</v>
      </c>
    </row>
    <row r="275" spans="1:4" ht="13.8" x14ac:dyDescent="0.25">
      <c r="A275" s="9"/>
      <c r="B275" s="9"/>
      <c r="C275" s="310"/>
      <c r="D275" s="311" t="e">
        <f t="shared" si="4"/>
        <v>#DIV/0!</v>
      </c>
    </row>
    <row r="276" spans="1:4" ht="13.8" x14ac:dyDescent="0.25">
      <c r="A276" s="9"/>
      <c r="B276" s="9"/>
      <c r="C276" s="310"/>
      <c r="D276" s="311" t="e">
        <f t="shared" si="4"/>
        <v>#DIV/0!</v>
      </c>
    </row>
    <row r="277" spans="1:4" ht="13.8" x14ac:dyDescent="0.25">
      <c r="A277" s="9"/>
      <c r="B277" s="9"/>
      <c r="C277" s="310"/>
      <c r="D277" s="311" t="e">
        <f t="shared" si="4"/>
        <v>#DIV/0!</v>
      </c>
    </row>
    <row r="278" spans="1:4" ht="13.8" x14ac:dyDescent="0.25">
      <c r="A278" s="9"/>
      <c r="B278" s="9"/>
      <c r="C278" s="310"/>
      <c r="D278" s="311" t="e">
        <f t="shared" si="4"/>
        <v>#DIV/0!</v>
      </c>
    </row>
    <row r="279" spans="1:4" ht="13.8" x14ac:dyDescent="0.25">
      <c r="A279" s="9"/>
      <c r="B279" s="9"/>
      <c r="C279" s="310"/>
      <c r="D279" s="311" t="e">
        <f t="shared" si="4"/>
        <v>#DIV/0!</v>
      </c>
    </row>
    <row r="280" spans="1:4" ht="13.8" x14ac:dyDescent="0.25">
      <c r="A280" s="9"/>
      <c r="B280" s="9"/>
      <c r="C280" s="310"/>
      <c r="D280" s="311" t="e">
        <f t="shared" si="4"/>
        <v>#DIV/0!</v>
      </c>
    </row>
    <row r="281" spans="1:4" ht="13.8" x14ac:dyDescent="0.25">
      <c r="A281" s="9"/>
      <c r="B281" s="9"/>
      <c r="C281" s="310"/>
      <c r="D281" s="311" t="e">
        <f t="shared" si="4"/>
        <v>#DIV/0!</v>
      </c>
    </row>
    <row r="282" spans="1:4" ht="13.8" x14ac:dyDescent="0.25">
      <c r="A282" s="9"/>
      <c r="B282" s="9"/>
      <c r="C282" s="310"/>
      <c r="D282" s="311" t="e">
        <f t="shared" si="4"/>
        <v>#DIV/0!</v>
      </c>
    </row>
    <row r="283" spans="1:4" ht="13.8" x14ac:dyDescent="0.25">
      <c r="A283" s="9"/>
      <c r="B283" s="9"/>
      <c r="C283" s="310"/>
      <c r="D283" s="311" t="e">
        <f t="shared" si="4"/>
        <v>#DIV/0!</v>
      </c>
    </row>
    <row r="284" spans="1:4" ht="13.8" x14ac:dyDescent="0.25">
      <c r="A284" s="9"/>
      <c r="B284" s="9"/>
      <c r="C284" s="310"/>
      <c r="D284" s="311" t="e">
        <f t="shared" si="4"/>
        <v>#DIV/0!</v>
      </c>
    </row>
    <row r="285" spans="1:4" ht="13.8" x14ac:dyDescent="0.25">
      <c r="A285" s="9"/>
      <c r="B285" s="9"/>
      <c r="C285" s="310"/>
      <c r="D285" s="311" t="e">
        <f t="shared" si="4"/>
        <v>#DIV/0!</v>
      </c>
    </row>
    <row r="286" spans="1:4" ht="13.8" x14ac:dyDescent="0.25">
      <c r="A286" s="9"/>
      <c r="B286" s="9"/>
      <c r="C286" s="310"/>
      <c r="D286" s="311" t="e">
        <f t="shared" si="4"/>
        <v>#DIV/0!</v>
      </c>
    </row>
    <row r="287" spans="1:4" ht="13.8" x14ac:dyDescent="0.25">
      <c r="A287" s="9"/>
      <c r="B287" s="9"/>
      <c r="C287" s="310"/>
      <c r="D287" s="311" t="e">
        <f t="shared" si="4"/>
        <v>#DIV/0!</v>
      </c>
    </row>
    <row r="288" spans="1:4" ht="13.8" x14ac:dyDescent="0.25">
      <c r="A288" s="9"/>
      <c r="B288" s="9"/>
      <c r="C288" s="310"/>
      <c r="D288" s="311" t="e">
        <f t="shared" si="4"/>
        <v>#DIV/0!</v>
      </c>
    </row>
    <row r="289" spans="1:4" ht="13.8" x14ac:dyDescent="0.25">
      <c r="A289" s="9"/>
      <c r="B289" s="9"/>
      <c r="C289" s="310"/>
      <c r="D289" s="311" t="e">
        <f t="shared" si="4"/>
        <v>#DIV/0!</v>
      </c>
    </row>
    <row r="290" spans="1:4" ht="13.8" x14ac:dyDescent="0.25">
      <c r="A290" s="9"/>
      <c r="B290" s="9"/>
      <c r="C290" s="310"/>
      <c r="D290" s="311" t="e">
        <f t="shared" si="4"/>
        <v>#DIV/0!</v>
      </c>
    </row>
    <row r="291" spans="1:4" ht="13.8" x14ac:dyDescent="0.25">
      <c r="A291" s="9"/>
      <c r="B291" s="9"/>
      <c r="C291" s="310"/>
      <c r="D291" s="311" t="e">
        <f t="shared" si="4"/>
        <v>#DIV/0!</v>
      </c>
    </row>
    <row r="292" spans="1:4" ht="13.8" x14ac:dyDescent="0.25">
      <c r="A292" s="9"/>
      <c r="B292" s="9"/>
      <c r="C292" s="310"/>
      <c r="D292" s="311" t="e">
        <f t="shared" si="4"/>
        <v>#DIV/0!</v>
      </c>
    </row>
    <row r="293" spans="1:4" ht="13.8" x14ac:dyDescent="0.25">
      <c r="A293" s="9"/>
      <c r="B293" s="9"/>
      <c r="C293" s="310"/>
      <c r="D293" s="311" t="e">
        <f t="shared" si="4"/>
        <v>#DIV/0!</v>
      </c>
    </row>
    <row r="294" spans="1:4" ht="13.8" x14ac:dyDescent="0.25">
      <c r="A294" s="9"/>
      <c r="B294" s="9"/>
      <c r="C294" s="310"/>
      <c r="D294" s="311" t="e">
        <f t="shared" si="4"/>
        <v>#DIV/0!</v>
      </c>
    </row>
    <row r="295" spans="1:4" ht="13.8" x14ac:dyDescent="0.25">
      <c r="A295" s="9"/>
      <c r="B295" s="9"/>
      <c r="C295" s="310"/>
      <c r="D295" s="311" t="e">
        <f t="shared" si="4"/>
        <v>#DIV/0!</v>
      </c>
    </row>
    <row r="296" spans="1:4" ht="13.8" x14ac:dyDescent="0.25">
      <c r="A296" s="9"/>
      <c r="B296" s="9"/>
      <c r="C296" s="310"/>
      <c r="D296" s="311" t="e">
        <f t="shared" si="4"/>
        <v>#DIV/0!</v>
      </c>
    </row>
    <row r="297" spans="1:4" ht="13.8" x14ac:dyDescent="0.25">
      <c r="A297" s="9"/>
      <c r="B297" s="9"/>
      <c r="C297" s="310"/>
      <c r="D297" s="311" t="e">
        <f t="shared" si="4"/>
        <v>#DIV/0!</v>
      </c>
    </row>
    <row r="298" spans="1:4" ht="13.8" x14ac:dyDescent="0.25">
      <c r="A298" s="9"/>
      <c r="B298" s="9"/>
      <c r="C298" s="310"/>
      <c r="D298" s="311" t="e">
        <f t="shared" si="4"/>
        <v>#DIV/0!</v>
      </c>
    </row>
    <row r="299" spans="1:4" ht="13.8" x14ac:dyDescent="0.25">
      <c r="A299" s="9"/>
      <c r="B299" s="9"/>
      <c r="C299" s="310"/>
      <c r="D299" s="311" t="e">
        <f t="shared" si="4"/>
        <v>#DIV/0!</v>
      </c>
    </row>
    <row r="300" spans="1:4" ht="13.8" x14ac:dyDescent="0.25">
      <c r="A300" s="9"/>
      <c r="B300" s="9"/>
      <c r="C300" s="310"/>
      <c r="D300" s="311" t="e">
        <f t="shared" si="4"/>
        <v>#DIV/0!</v>
      </c>
    </row>
  </sheetData>
  <sheetProtection sheet="1" objects="1" scenarios="1"/>
  <dataValidations count="1">
    <dataValidation type="list" allowBlank="1" showErrorMessage="1" sqref="G3:G50">
      <formula1>Arbeitskräfte</formula1>
    </dataValidation>
  </dataValidation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2"/>
  <sheetViews>
    <sheetView workbookViewId="0"/>
  </sheetViews>
  <sheetFormatPr baseColWidth="10" defaultRowHeight="12.75" x14ac:dyDescent="0.25"/>
  <cols>
    <col min="1" max="1" width="13.09765625" customWidth="1"/>
    <col min="2" max="2" width="5.3984375" customWidth="1"/>
    <col min="3" max="3" width="10.5" customWidth="1"/>
    <col min="4" max="4" width="5.5" customWidth="1"/>
    <col min="5" max="5" width="9.69921875" customWidth="1"/>
    <col min="6" max="6" width="5.8984375" customWidth="1"/>
    <col min="7" max="7" width="9.09765625" customWidth="1"/>
    <col min="8" max="8" width="6.296875" customWidth="1"/>
    <col min="9" max="9" width="9.09765625" customWidth="1"/>
    <col min="10" max="10" width="5.796875" customWidth="1"/>
    <col min="11" max="11" width="7.19921875" customWidth="1"/>
    <col min="12" max="12" width="8.8984375" customWidth="1"/>
    <col min="13" max="13" width="6.59765625" customWidth="1"/>
    <col min="14" max="15" width="4.3984375" customWidth="1"/>
    <col min="16" max="16" width="2.19921875" customWidth="1"/>
    <col min="17" max="17" width="4.8984375" customWidth="1"/>
    <col min="18" max="18" width="4.5" customWidth="1"/>
    <col min="19" max="19" width="2.69921875" customWidth="1"/>
    <col min="20" max="20" width="4.19921875" customWidth="1"/>
    <col min="21" max="21" width="4.69921875" customWidth="1"/>
    <col min="22" max="22" width="2.296875" style="315" customWidth="1"/>
    <col min="23" max="23" width="4.3984375" style="96" customWidth="1"/>
    <col min="24" max="24" width="4.5" style="96" customWidth="1"/>
    <col min="25" max="25" width="2.296875" style="96" customWidth="1"/>
    <col min="26" max="26" width="4.796875" style="96" customWidth="1"/>
    <col min="27" max="27" width="4" style="96" customWidth="1"/>
    <col min="28" max="1024" width="7.8984375" customWidth="1"/>
  </cols>
  <sheetData>
    <row r="1" spans="1:14" ht="22.8" x14ac:dyDescent="0.4">
      <c r="A1" s="143" t="s">
        <v>506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3.8" x14ac:dyDescent="0.25">
      <c r="A2" t="s">
        <v>507</v>
      </c>
      <c r="C2" s="263" t="s">
        <v>508</v>
      </c>
      <c r="F2" s="316"/>
    </row>
    <row r="3" spans="1:14" ht="13.8" x14ac:dyDescent="0.25">
      <c r="A3" t="s">
        <v>509</v>
      </c>
      <c r="C3" s="247">
        <v>5000</v>
      </c>
      <c r="D3" s="317">
        <f>IF(C3&lt;=1000,1000,IF(AND(C3&lt;=5000,C3&gt;1000),5000,10000))</f>
        <v>5000</v>
      </c>
      <c r="E3" s="318"/>
      <c r="F3" s="319"/>
    </row>
    <row r="4" spans="1:14" ht="13.8" x14ac:dyDescent="0.25">
      <c r="A4" t="s">
        <v>510</v>
      </c>
      <c r="C4" s="9" t="s">
        <v>511</v>
      </c>
      <c r="E4" s="153"/>
      <c r="F4" s="139"/>
      <c r="H4" s="315"/>
      <c r="I4" s="315"/>
      <c r="J4" s="315"/>
    </row>
    <row r="5" spans="1:14" ht="13.8" x14ac:dyDescent="0.25">
      <c r="A5" t="s">
        <v>512</v>
      </c>
      <c r="C5" s="369" t="s">
        <v>513</v>
      </c>
      <c r="D5" s="369"/>
      <c r="E5" s="320"/>
      <c r="F5" s="319"/>
    </row>
    <row r="6" spans="1:14" ht="13.8" x14ac:dyDescent="0.25">
      <c r="A6" t="s">
        <v>514</v>
      </c>
      <c r="C6" s="369" t="s">
        <v>515</v>
      </c>
      <c r="D6" s="369"/>
      <c r="E6" s="152"/>
    </row>
    <row r="7" spans="1:14" ht="13.8" x14ac:dyDescent="0.25">
      <c r="A7" t="s">
        <v>516</v>
      </c>
      <c r="C7" s="85">
        <v>0.3</v>
      </c>
      <c r="D7" t="str">
        <f>VLOOKUP($C$6,A170:$F$181,6,0)</f>
        <v>Liter</v>
      </c>
      <c r="E7" s="67"/>
      <c r="F7" s="139"/>
    </row>
    <row r="8" spans="1:14" ht="13.8" x14ac:dyDescent="0.25">
      <c r="C8" s="67"/>
      <c r="E8" s="67"/>
      <c r="F8" s="139"/>
    </row>
    <row r="9" spans="1:14" ht="13.8" x14ac:dyDescent="0.25">
      <c r="C9" t="s">
        <v>517</v>
      </c>
      <c r="E9" t="s">
        <v>518</v>
      </c>
      <c r="G9" t="s">
        <v>519</v>
      </c>
      <c r="I9" t="s">
        <v>520</v>
      </c>
    </row>
    <row r="10" spans="1:14" ht="13.8" x14ac:dyDescent="0.25">
      <c r="C10" s="321" t="s">
        <v>521</v>
      </c>
      <c r="D10" s="322"/>
      <c r="E10" s="321"/>
      <c r="F10" s="323"/>
      <c r="G10" s="321"/>
      <c r="H10" s="323"/>
      <c r="I10" s="321"/>
    </row>
    <row r="11" spans="1:14" ht="13.8" x14ac:dyDescent="0.25">
      <c r="A11" t="s">
        <v>522</v>
      </c>
      <c r="C11" s="324">
        <v>19</v>
      </c>
      <c r="E11" s="324">
        <v>29</v>
      </c>
      <c r="F11" s="152"/>
      <c r="G11" s="324">
        <v>29</v>
      </c>
      <c r="H11" s="152"/>
      <c r="I11" s="324">
        <v>29</v>
      </c>
    </row>
    <row r="12" spans="1:14" ht="13.8" x14ac:dyDescent="0.25">
      <c r="A12" t="s">
        <v>523</v>
      </c>
      <c r="C12" s="324">
        <v>25</v>
      </c>
      <c r="E12" s="324">
        <v>30</v>
      </c>
      <c r="F12" s="152"/>
      <c r="G12" s="324">
        <v>30</v>
      </c>
      <c r="H12" s="152"/>
      <c r="I12" s="324">
        <v>30</v>
      </c>
    </row>
    <row r="13" spans="1:14" ht="13.8" x14ac:dyDescent="0.25">
      <c r="A13" t="s">
        <v>524</v>
      </c>
      <c r="C13" s="9">
        <v>353</v>
      </c>
      <c r="E13" s="9"/>
      <c r="F13" s="152"/>
      <c r="G13" s="9"/>
      <c r="H13" s="152"/>
      <c r="I13" s="9"/>
    </row>
    <row r="14" spans="1:14" ht="13.8" x14ac:dyDescent="0.25">
      <c r="A14" t="s">
        <v>525</v>
      </c>
      <c r="C14" s="9">
        <v>9870</v>
      </c>
      <c r="D14" s="152"/>
      <c r="E14" s="153">
        <f>C14</f>
        <v>9870</v>
      </c>
      <c r="F14" s="153"/>
      <c r="G14" s="153">
        <f>C14</f>
        <v>9870</v>
      </c>
      <c r="H14" s="153"/>
      <c r="I14" s="153">
        <f>C14</f>
        <v>9870</v>
      </c>
    </row>
    <row r="15" spans="1:14" ht="13.8" x14ac:dyDescent="0.25">
      <c r="A15" t="s">
        <v>526</v>
      </c>
      <c r="C15" s="325">
        <v>15</v>
      </c>
      <c r="E15" s="325">
        <v>2</v>
      </c>
      <c r="F15" s="152"/>
      <c r="G15" s="325">
        <v>2</v>
      </c>
      <c r="H15" s="152"/>
      <c r="I15" s="325">
        <v>2</v>
      </c>
    </row>
    <row r="16" spans="1:14" ht="13.8" x14ac:dyDescent="0.25">
      <c r="A16" t="s">
        <v>527</v>
      </c>
      <c r="C16" s="325">
        <v>15</v>
      </c>
      <c r="E16" s="325">
        <v>2</v>
      </c>
      <c r="F16" s="152"/>
      <c r="G16" s="325">
        <v>2</v>
      </c>
      <c r="H16" s="152"/>
      <c r="I16" s="325">
        <v>2</v>
      </c>
    </row>
    <row r="17" spans="1:15" ht="13.8" x14ac:dyDescent="0.25"/>
    <row r="18" spans="1:15" ht="13.8" x14ac:dyDescent="0.25">
      <c r="C18" t="s">
        <v>528</v>
      </c>
      <c r="E18" t="s">
        <v>528</v>
      </c>
      <c r="G18" t="s">
        <v>528</v>
      </c>
      <c r="I18" t="s">
        <v>528</v>
      </c>
    </row>
    <row r="19" spans="1:15" ht="13.8" x14ac:dyDescent="0.25">
      <c r="A19" t="s">
        <v>529</v>
      </c>
      <c r="C19" s="96">
        <f>$R$87</f>
        <v>7.21</v>
      </c>
      <c r="E19">
        <f>$U$87</f>
        <v>0</v>
      </c>
      <c r="G19">
        <f>$X$87</f>
        <v>0</v>
      </c>
      <c r="I19">
        <f>$AA$87</f>
        <v>0</v>
      </c>
      <c r="K19" s="326"/>
      <c r="L19" s="254"/>
    </row>
    <row r="20" spans="1:15" ht="13.8" x14ac:dyDescent="0.25">
      <c r="A20" t="s">
        <v>530</v>
      </c>
      <c r="C20" s="96">
        <f>$G$167</f>
        <v>0.64</v>
      </c>
      <c r="E20">
        <f>$I$167</f>
        <v>0.61</v>
      </c>
      <c r="G20">
        <f>$K$167</f>
        <v>0.61</v>
      </c>
      <c r="I20">
        <f>$M$167</f>
        <v>0.61</v>
      </c>
    </row>
    <row r="21" spans="1:15" ht="13.8" x14ac:dyDescent="0.25">
      <c r="A21" t="s">
        <v>531</v>
      </c>
      <c r="C21" s="254">
        <f>C19*C20</f>
        <v>4.6143999999999998</v>
      </c>
      <c r="D21" t="s">
        <v>528</v>
      </c>
      <c r="E21" s="254">
        <f>E19*E20</f>
        <v>0</v>
      </c>
      <c r="F21" t="s">
        <v>528</v>
      </c>
      <c r="G21" s="254">
        <f>G19*G20</f>
        <v>0</v>
      </c>
      <c r="H21" t="s">
        <v>528</v>
      </c>
      <c r="I21" s="254">
        <f>I19*I20</f>
        <v>0</v>
      </c>
      <c r="J21" t="s">
        <v>528</v>
      </c>
      <c r="K21" s="326"/>
      <c r="L21" s="254"/>
    </row>
    <row r="22" spans="1:15" ht="13.8" x14ac:dyDescent="0.25">
      <c r="L22" s="254"/>
    </row>
    <row r="23" spans="1:15" ht="13.8" x14ac:dyDescent="0.25">
      <c r="A23" t="s">
        <v>532</v>
      </c>
      <c r="C23" s="96">
        <f>$R$143</f>
        <v>6.02</v>
      </c>
      <c r="E23" s="96">
        <f>$U$143</f>
        <v>0</v>
      </c>
      <c r="G23" s="96">
        <f>$X$143</f>
        <v>0</v>
      </c>
      <c r="I23" s="96">
        <f>$AA$143</f>
        <v>0</v>
      </c>
      <c r="L23" s="254"/>
    </row>
    <row r="24" spans="1:15" ht="13.8" x14ac:dyDescent="0.25">
      <c r="A24" t="s">
        <v>533</v>
      </c>
      <c r="C24" s="96">
        <f>$H$167</f>
        <v>0.64</v>
      </c>
      <c r="E24">
        <f>$J$167</f>
        <v>0.61</v>
      </c>
      <c r="G24">
        <f>$L$167</f>
        <v>0.61</v>
      </c>
      <c r="I24">
        <f>$N$167</f>
        <v>0.61</v>
      </c>
      <c r="L24" s="254"/>
    </row>
    <row r="25" spans="1:15" ht="13.8" x14ac:dyDescent="0.25">
      <c r="A25" t="s">
        <v>531</v>
      </c>
      <c r="C25" s="254">
        <f>C23*C24</f>
        <v>3.8527999999999998</v>
      </c>
      <c r="D25" t="s">
        <v>528</v>
      </c>
      <c r="E25" s="254">
        <f>E23*E24</f>
        <v>0</v>
      </c>
      <c r="F25" t="s">
        <v>528</v>
      </c>
      <c r="G25" s="254">
        <f>G23*G24</f>
        <v>0</v>
      </c>
      <c r="H25" t="s">
        <v>528</v>
      </c>
      <c r="I25" s="254">
        <f>I23*I24</f>
        <v>0</v>
      </c>
      <c r="J25" t="s">
        <v>528</v>
      </c>
      <c r="K25" s="327" t="s">
        <v>97</v>
      </c>
      <c r="L25" s="328" t="s">
        <v>534</v>
      </c>
    </row>
    <row r="26" spans="1:15" ht="13.8" x14ac:dyDescent="0.25">
      <c r="A26" t="s">
        <v>535</v>
      </c>
      <c r="B26" t="s">
        <v>528</v>
      </c>
      <c r="C26" s="329">
        <f>C21+C25</f>
        <v>8.4672000000000001</v>
      </c>
      <c r="D26" s="330"/>
      <c r="E26" s="331">
        <f>E21+E25</f>
        <v>0</v>
      </c>
      <c r="F26" s="330"/>
      <c r="G26" s="331">
        <f>G21+G25</f>
        <v>0</v>
      </c>
      <c r="H26" s="330"/>
      <c r="I26" s="332">
        <f>I21+I25</f>
        <v>0</v>
      </c>
      <c r="K26" s="333"/>
      <c r="L26" s="334"/>
    </row>
    <row r="27" spans="1:15" ht="13.8" x14ac:dyDescent="0.25">
      <c r="B27" t="s">
        <v>536</v>
      </c>
      <c r="C27" s="329">
        <f>C26*C13</f>
        <v>2988.9216000000001</v>
      </c>
      <c r="D27" s="330"/>
      <c r="E27" s="331">
        <f>E26*E13</f>
        <v>0</v>
      </c>
      <c r="F27" s="330"/>
      <c r="G27" s="331">
        <f>G26*G13</f>
        <v>0</v>
      </c>
      <c r="H27" s="330"/>
      <c r="I27" s="332">
        <f>I26*I13</f>
        <v>0</v>
      </c>
      <c r="K27" s="335">
        <f>SUM(C27:I27)</f>
        <v>2988.9216000000001</v>
      </c>
      <c r="L27" s="336">
        <f>K27/$C$14</f>
        <v>0.30282893617021278</v>
      </c>
    </row>
    <row r="28" spans="1:15" ht="13.8" x14ac:dyDescent="0.25">
      <c r="A28" t="s">
        <v>537</v>
      </c>
      <c r="B28" t="str">
        <f>VLOOKUP($C$6,A170:$F$181,6,0)</f>
        <v>Liter</v>
      </c>
      <c r="C28" s="329">
        <f>C27*VLOOKUP($C$6,A170:$F$181,5,0)</f>
        <v>292.91431680000005</v>
      </c>
      <c r="D28" s="337"/>
      <c r="E28" s="331">
        <f>E27*VLOOKUP($C$6,A170:$F$181,5,0)</f>
        <v>0</v>
      </c>
      <c r="F28" s="337"/>
      <c r="G28" s="331">
        <f>G27*VLOOKUP($C$6,A170:$F$181,5,0)</f>
        <v>0</v>
      </c>
      <c r="H28" s="337"/>
      <c r="I28" s="332">
        <f>I27*VLOOKUP($C$6,A170:$F$181,5,0)</f>
        <v>0</v>
      </c>
      <c r="K28" s="335">
        <f>SUM(C28:I28)</f>
        <v>292.91431680000005</v>
      </c>
      <c r="L28" s="336">
        <f>K28/$C$14</f>
        <v>2.9677235744680855E-2</v>
      </c>
    </row>
    <row r="29" spans="1:15" ht="13.8" x14ac:dyDescent="0.25">
      <c r="A29" t="s">
        <v>538</v>
      </c>
      <c r="C29" s="338">
        <f>C28*$C$7</f>
        <v>87.874295040000007</v>
      </c>
      <c r="D29" s="330"/>
      <c r="E29" s="339">
        <f>E28*$C$7</f>
        <v>0</v>
      </c>
      <c r="F29" s="330"/>
      <c r="G29" s="339">
        <f>G28*$C$7</f>
        <v>0</v>
      </c>
      <c r="H29" s="330"/>
      <c r="I29" s="340">
        <f>I28*$C$7</f>
        <v>0</v>
      </c>
      <c r="K29" s="341">
        <f>SUM(C29:I29)</f>
        <v>87.874295040000007</v>
      </c>
      <c r="L29" s="342">
        <f>K29/$C$14</f>
        <v>8.9031707234042568E-3</v>
      </c>
    </row>
    <row r="30" spans="1:15" ht="13.8" x14ac:dyDescent="0.25"/>
    <row r="31" spans="1:15" ht="15.6" customHeight="1" thickBot="1" x14ac:dyDescent="0.3">
      <c r="A31" s="370" t="s">
        <v>539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</row>
    <row r="32" spans="1:15" ht="12.9" customHeight="1" thickTop="1" x14ac:dyDescent="0.25">
      <c r="A32" s="343"/>
      <c r="B32" s="344"/>
      <c r="C32" s="371" t="s">
        <v>540</v>
      </c>
      <c r="D32" s="371"/>
      <c r="E32" s="371"/>
      <c r="F32" s="371"/>
      <c r="G32" s="371"/>
      <c r="H32" s="344"/>
      <c r="I32" s="344"/>
      <c r="J32" s="344"/>
      <c r="K32" s="344"/>
      <c r="L32" s="344"/>
      <c r="M32" s="344"/>
      <c r="N32" s="344"/>
      <c r="O32" s="344"/>
    </row>
    <row r="33" spans="1:27" ht="13.8" x14ac:dyDescent="0.25">
      <c r="A33" s="345"/>
      <c r="B33" s="346"/>
      <c r="C33" s="347"/>
      <c r="D33" s="347"/>
      <c r="E33" s="347"/>
      <c r="F33" s="347"/>
      <c r="G33" s="347"/>
      <c r="H33" s="346"/>
      <c r="I33" s="346"/>
      <c r="J33" s="346"/>
      <c r="K33" s="346"/>
      <c r="L33" s="346"/>
      <c r="M33" s="346"/>
      <c r="N33" s="346"/>
      <c r="O33" s="346"/>
    </row>
    <row r="34" spans="1:27" ht="13.8" x14ac:dyDescent="0.25">
      <c r="A34" s="345"/>
      <c r="B34" s="348" t="s">
        <v>541</v>
      </c>
      <c r="C34" s="349">
        <v>2</v>
      </c>
      <c r="D34" s="349">
        <v>4</v>
      </c>
      <c r="E34" s="349">
        <v>5</v>
      </c>
      <c r="F34" s="349">
        <v>6</v>
      </c>
      <c r="G34" s="349">
        <v>8</v>
      </c>
      <c r="H34" s="349">
        <v>10</v>
      </c>
      <c r="I34" s="349">
        <v>12</v>
      </c>
      <c r="J34" s="349">
        <v>14</v>
      </c>
      <c r="K34" s="349">
        <v>15</v>
      </c>
      <c r="L34" s="349">
        <v>16</v>
      </c>
      <c r="M34" s="349">
        <v>18</v>
      </c>
      <c r="N34" s="349">
        <v>20</v>
      </c>
      <c r="O34" s="349">
        <v>22</v>
      </c>
      <c r="P34" t="s">
        <v>517</v>
      </c>
      <c r="S34" t="s">
        <v>518</v>
      </c>
      <c r="V34" s="96" t="s">
        <v>519</v>
      </c>
      <c r="Y34" s="96" t="s">
        <v>520</v>
      </c>
    </row>
    <row r="35" spans="1:27" ht="13.8" x14ac:dyDescent="0.25">
      <c r="A35" s="350" t="s">
        <v>542</v>
      </c>
      <c r="B35" s="351">
        <v>1</v>
      </c>
      <c r="C35" s="352">
        <v>0.7</v>
      </c>
      <c r="D35" s="352">
        <v>1.1200000000000001</v>
      </c>
      <c r="E35" s="352">
        <v>1.47</v>
      </c>
      <c r="F35" s="352">
        <v>1.96</v>
      </c>
      <c r="G35" s="352">
        <v>3.22</v>
      </c>
      <c r="H35" s="352">
        <v>4.6900000000000004</v>
      </c>
      <c r="I35" s="352">
        <v>6.09</v>
      </c>
      <c r="J35" s="352">
        <v>7.56</v>
      </c>
      <c r="K35" s="352">
        <v>8.26</v>
      </c>
      <c r="L35" s="352">
        <v>9.0299999999999994</v>
      </c>
      <c r="M35" s="352">
        <v>10.43</v>
      </c>
      <c r="N35" s="352">
        <v>11.9</v>
      </c>
      <c r="O35" s="352">
        <v>13.3</v>
      </c>
      <c r="P35">
        <f t="shared" ref="P35:P66" si="0">IF($C$11&lt;$C$12,IF(AND($C$11&lt;=B35,$C$12&gt;=B35),1,0),IF(OR(B35&lt;=$C$12,B35&gt;=$C$11),1,0))</f>
        <v>0</v>
      </c>
      <c r="Q35">
        <f>HLOOKUP($C$15,$C$34:$O$86,2,0)</f>
        <v>8.26</v>
      </c>
      <c r="R35">
        <f t="shared" ref="R35:R66" si="1">IF(P35=1,Q35,0)</f>
        <v>0</v>
      </c>
      <c r="S35">
        <f t="shared" ref="S35:S66" si="2">IF($E$11&lt;$E$12,IF(AND($E$11&lt;=B35,$E$12&gt;=B35),1,0),IF(OR(B35&lt;=$E$12,B35&gt;=$E$11),1,0))</f>
        <v>0</v>
      </c>
      <c r="T35">
        <f>HLOOKUP($E$15,$C$34:$O$86,2,0)</f>
        <v>0.7</v>
      </c>
      <c r="U35">
        <f t="shared" ref="U35:U66" si="3">IF(S35=1,T35,0)</f>
        <v>0</v>
      </c>
      <c r="V35" s="96">
        <f t="shared" ref="V35:V66" si="4">IF($G$11&lt;$G$12,IF(AND($G$11&lt;=B35,$G$12&gt;=B35),1,0),IF(OR(B35&lt;=$G$12,B35&gt;=$G$11),1,0))</f>
        <v>0</v>
      </c>
      <c r="W35" s="96">
        <f>HLOOKUP($G$15,$C$34:$O$86,2,0)</f>
        <v>0.7</v>
      </c>
      <c r="X35" s="96">
        <f t="shared" ref="X35:X66" si="5">IF(V35=1,W35,0)</f>
        <v>0</v>
      </c>
      <c r="Y35" s="96">
        <f t="shared" ref="Y35:Y66" si="6">IF($I$11&lt;$I$12,IF(AND($I$11&lt;=B35,$I$12&gt;=B35),1,0),IF(OR(B35&lt;=$I$12,B35&gt;=$I$11),1,0))</f>
        <v>0</v>
      </c>
      <c r="Z35" s="96">
        <f>HLOOKUP($I$15,$C$34:$O$86,2,0)</f>
        <v>0.7</v>
      </c>
      <c r="AA35" s="96">
        <f t="shared" ref="AA35:AA66" si="7">IF(Y35=1,Z35,0)</f>
        <v>0</v>
      </c>
    </row>
    <row r="36" spans="1:27" ht="13.8" x14ac:dyDescent="0.25">
      <c r="A36" s="345"/>
      <c r="B36" s="353">
        <v>2</v>
      </c>
      <c r="C36" s="354">
        <v>1.19</v>
      </c>
      <c r="D36" s="354">
        <v>1.96</v>
      </c>
      <c r="E36" s="354">
        <v>2.4500000000000002</v>
      </c>
      <c r="F36" s="354">
        <v>3.01</v>
      </c>
      <c r="G36" s="354">
        <v>4.34</v>
      </c>
      <c r="H36" s="354">
        <v>5.74</v>
      </c>
      <c r="I36" s="354">
        <v>7.21</v>
      </c>
      <c r="J36" s="354">
        <v>8.61</v>
      </c>
      <c r="K36" s="354">
        <v>9.3800000000000008</v>
      </c>
      <c r="L36" s="354">
        <v>10.08</v>
      </c>
      <c r="M36" s="354">
        <v>11.55</v>
      </c>
      <c r="N36" s="354">
        <v>12.95</v>
      </c>
      <c r="O36" s="354">
        <v>14.42</v>
      </c>
      <c r="P36">
        <f t="shared" si="0"/>
        <v>0</v>
      </c>
      <c r="Q36">
        <f>HLOOKUP($C$15,$C$34:$O$86,3,0)</f>
        <v>9.3800000000000008</v>
      </c>
      <c r="R36">
        <f t="shared" si="1"/>
        <v>0</v>
      </c>
      <c r="S36">
        <f t="shared" si="2"/>
        <v>0</v>
      </c>
      <c r="T36">
        <f>HLOOKUP($E$15,$C$34:$O$86,3,0)</f>
        <v>1.19</v>
      </c>
      <c r="U36">
        <f t="shared" si="3"/>
        <v>0</v>
      </c>
      <c r="V36" s="96">
        <f t="shared" si="4"/>
        <v>0</v>
      </c>
      <c r="W36" s="96">
        <f>HLOOKUP($G$15,$C$34:$O$86,3,0)</f>
        <v>1.19</v>
      </c>
      <c r="X36" s="96">
        <f t="shared" si="5"/>
        <v>0</v>
      </c>
      <c r="Y36" s="96">
        <f t="shared" si="6"/>
        <v>0</v>
      </c>
      <c r="Z36" s="96">
        <f>HLOOKUP($I$15,$C$34:$O$86,3,0)</f>
        <v>1.19</v>
      </c>
      <c r="AA36" s="96">
        <f t="shared" si="7"/>
        <v>0</v>
      </c>
    </row>
    <row r="37" spans="1:27" ht="13.8" x14ac:dyDescent="0.25">
      <c r="A37" s="345"/>
      <c r="B37" s="353">
        <v>3</v>
      </c>
      <c r="C37" s="354">
        <v>0.77</v>
      </c>
      <c r="D37" s="354">
        <v>1.4</v>
      </c>
      <c r="E37" s="354">
        <v>1.89</v>
      </c>
      <c r="F37" s="354">
        <v>2.38</v>
      </c>
      <c r="G37" s="354">
        <v>3.64</v>
      </c>
      <c r="H37" s="354">
        <v>4.97</v>
      </c>
      <c r="I37" s="354">
        <v>6.44</v>
      </c>
      <c r="J37" s="354">
        <v>7.84</v>
      </c>
      <c r="K37" s="354">
        <v>8.61</v>
      </c>
      <c r="L37" s="354">
        <v>9.31</v>
      </c>
      <c r="M37" s="354">
        <v>10.78</v>
      </c>
      <c r="N37" s="354">
        <v>12.18</v>
      </c>
      <c r="O37" s="354">
        <v>13.65</v>
      </c>
      <c r="P37">
        <f t="shared" si="0"/>
        <v>0</v>
      </c>
      <c r="Q37">
        <f>HLOOKUP($C$15,$C$34:$O$86,4,0)</f>
        <v>8.61</v>
      </c>
      <c r="R37">
        <f t="shared" si="1"/>
        <v>0</v>
      </c>
      <c r="S37">
        <f t="shared" si="2"/>
        <v>0</v>
      </c>
      <c r="T37">
        <f>HLOOKUP($E$15,$C$34:$O$86,4,0)</f>
        <v>0.77</v>
      </c>
      <c r="U37">
        <f t="shared" si="3"/>
        <v>0</v>
      </c>
      <c r="V37" s="96">
        <f t="shared" si="4"/>
        <v>0</v>
      </c>
      <c r="W37" s="96">
        <f>HLOOKUP($G$15,$C$34:$O$86,4,0)</f>
        <v>0.77</v>
      </c>
      <c r="X37" s="96">
        <f t="shared" si="5"/>
        <v>0</v>
      </c>
      <c r="Y37" s="96">
        <f t="shared" si="6"/>
        <v>0</v>
      </c>
      <c r="Z37" s="96">
        <f>HLOOKUP($I$15,$C$34:$O$86,4,0)</f>
        <v>0.77</v>
      </c>
      <c r="AA37" s="96">
        <f t="shared" si="7"/>
        <v>0</v>
      </c>
    </row>
    <row r="38" spans="1:27" ht="13.8" x14ac:dyDescent="0.25">
      <c r="A38" s="345"/>
      <c r="B38" s="353">
        <v>4</v>
      </c>
      <c r="C38" s="354">
        <v>0.91</v>
      </c>
      <c r="D38" s="354">
        <v>1.68</v>
      </c>
      <c r="E38" s="354">
        <v>2.2400000000000002</v>
      </c>
      <c r="F38" s="354">
        <v>2.8</v>
      </c>
      <c r="G38" s="354">
        <v>4.13</v>
      </c>
      <c r="H38" s="354">
        <v>5.53</v>
      </c>
      <c r="I38" s="354">
        <v>7</v>
      </c>
      <c r="J38" s="354">
        <v>8.4700000000000006</v>
      </c>
      <c r="K38" s="354">
        <v>9.17</v>
      </c>
      <c r="L38" s="354">
        <v>9.94</v>
      </c>
      <c r="M38" s="354">
        <v>11.41</v>
      </c>
      <c r="N38" s="354">
        <v>12.81</v>
      </c>
      <c r="O38" s="354">
        <v>14.28</v>
      </c>
      <c r="P38">
        <f t="shared" si="0"/>
        <v>0</v>
      </c>
      <c r="Q38">
        <f>HLOOKUP($C$15,$C$34:$O$86,5,0)</f>
        <v>9.17</v>
      </c>
      <c r="R38">
        <f t="shared" si="1"/>
        <v>0</v>
      </c>
      <c r="S38">
        <f t="shared" si="2"/>
        <v>0</v>
      </c>
      <c r="T38">
        <f>HLOOKUP($E$15,$C$34:$O$86,5,0)</f>
        <v>0.91</v>
      </c>
      <c r="U38">
        <f t="shared" si="3"/>
        <v>0</v>
      </c>
      <c r="V38" s="96">
        <f t="shared" si="4"/>
        <v>0</v>
      </c>
      <c r="W38" s="96">
        <f>HLOOKUP($G$15,$C$34:$O$86,5,0)</f>
        <v>0.91</v>
      </c>
      <c r="X38" s="96">
        <f t="shared" si="5"/>
        <v>0</v>
      </c>
      <c r="Y38" s="96">
        <f t="shared" si="6"/>
        <v>0</v>
      </c>
      <c r="Z38" s="96">
        <f>HLOOKUP($I$15,$C$34:$O$86,5,0)</f>
        <v>0.91</v>
      </c>
      <c r="AA38" s="96">
        <f t="shared" si="7"/>
        <v>0</v>
      </c>
    </row>
    <row r="39" spans="1:27" ht="13.8" x14ac:dyDescent="0.25">
      <c r="A39" s="355"/>
      <c r="B39" s="356">
        <v>5</v>
      </c>
      <c r="C39" s="357">
        <v>0.98</v>
      </c>
      <c r="D39" s="357">
        <v>1.75</v>
      </c>
      <c r="E39" s="357">
        <v>2.31</v>
      </c>
      <c r="F39" s="357">
        <v>2.87</v>
      </c>
      <c r="G39" s="357">
        <v>4.13</v>
      </c>
      <c r="H39" s="357">
        <v>5.53</v>
      </c>
      <c r="I39" s="357">
        <v>7</v>
      </c>
      <c r="J39" s="357">
        <v>8.5399999999999991</v>
      </c>
      <c r="K39" s="357">
        <v>9.24</v>
      </c>
      <c r="L39" s="357">
        <v>10.01</v>
      </c>
      <c r="M39" s="357">
        <v>11.48</v>
      </c>
      <c r="N39" s="357">
        <v>13.02</v>
      </c>
      <c r="O39" s="357">
        <v>14.49</v>
      </c>
      <c r="P39">
        <f t="shared" si="0"/>
        <v>0</v>
      </c>
      <c r="Q39">
        <f>HLOOKUP($C$15,$C$34:$O$86,6,0)</f>
        <v>9.24</v>
      </c>
      <c r="R39">
        <f t="shared" si="1"/>
        <v>0</v>
      </c>
      <c r="S39">
        <f t="shared" si="2"/>
        <v>0</v>
      </c>
      <c r="T39">
        <f>HLOOKUP($E$15,$C$34:$O$86,6,0)</f>
        <v>0.98</v>
      </c>
      <c r="U39">
        <f t="shared" si="3"/>
        <v>0</v>
      </c>
      <c r="V39" s="96">
        <f t="shared" si="4"/>
        <v>0</v>
      </c>
      <c r="W39" s="96">
        <f>HLOOKUP($G$15,$C$34:$O$86,6,0)</f>
        <v>0.98</v>
      </c>
      <c r="X39" s="96">
        <f t="shared" si="5"/>
        <v>0</v>
      </c>
      <c r="Y39" s="96">
        <f t="shared" si="6"/>
        <v>0</v>
      </c>
      <c r="Z39" s="96">
        <f>HLOOKUP($I$15,$C$34:$O$86,6,0)</f>
        <v>0.98</v>
      </c>
      <c r="AA39" s="96">
        <f t="shared" si="7"/>
        <v>0</v>
      </c>
    </row>
    <row r="40" spans="1:27" ht="13.8" x14ac:dyDescent="0.25">
      <c r="A40" s="358" t="s">
        <v>543</v>
      </c>
      <c r="B40" s="353">
        <v>6</v>
      </c>
      <c r="C40" s="354">
        <v>0.42</v>
      </c>
      <c r="D40" s="354">
        <v>0.77</v>
      </c>
      <c r="E40" s="354">
        <v>1.05</v>
      </c>
      <c r="F40" s="354">
        <v>1.4</v>
      </c>
      <c r="G40" s="354">
        <v>2.38</v>
      </c>
      <c r="H40" s="354">
        <v>3.71</v>
      </c>
      <c r="I40" s="354">
        <v>5.25</v>
      </c>
      <c r="J40" s="354">
        <v>6.93</v>
      </c>
      <c r="K40" s="354">
        <v>7.7</v>
      </c>
      <c r="L40" s="354">
        <v>8.5399999999999991</v>
      </c>
      <c r="M40" s="354">
        <v>10.220000000000001</v>
      </c>
      <c r="N40" s="354">
        <v>11.9</v>
      </c>
      <c r="O40" s="354">
        <v>13.51</v>
      </c>
      <c r="P40">
        <f t="shared" si="0"/>
        <v>0</v>
      </c>
      <c r="Q40">
        <f>HLOOKUP($C$15,$C$34:$O$86,7,0)</f>
        <v>7.7</v>
      </c>
      <c r="R40">
        <f t="shared" si="1"/>
        <v>0</v>
      </c>
      <c r="S40">
        <f t="shared" si="2"/>
        <v>0</v>
      </c>
      <c r="T40">
        <f>HLOOKUP($E$15,$C$34:$O$86,7,0)</f>
        <v>0.42</v>
      </c>
      <c r="U40">
        <f t="shared" si="3"/>
        <v>0</v>
      </c>
      <c r="V40" s="96">
        <f t="shared" si="4"/>
        <v>0</v>
      </c>
      <c r="W40" s="96">
        <f>HLOOKUP($G$15,$C$34:$O$86,7,0)</f>
        <v>0.42</v>
      </c>
      <c r="X40" s="96">
        <f t="shared" si="5"/>
        <v>0</v>
      </c>
      <c r="Y40" s="96">
        <f t="shared" si="6"/>
        <v>0</v>
      </c>
      <c r="Z40" s="96">
        <f>HLOOKUP($I$15,$C$34:$O$86,7,0)</f>
        <v>0.42</v>
      </c>
      <c r="AA40" s="96">
        <f t="shared" si="7"/>
        <v>0</v>
      </c>
    </row>
    <row r="41" spans="1:27" ht="13.8" x14ac:dyDescent="0.25">
      <c r="A41" s="345"/>
      <c r="B41" s="353">
        <v>7</v>
      </c>
      <c r="C41" s="354">
        <v>0.28000000000000003</v>
      </c>
      <c r="D41" s="354">
        <v>0.56000000000000005</v>
      </c>
      <c r="E41" s="354">
        <v>0.84</v>
      </c>
      <c r="F41" s="354">
        <v>1.19</v>
      </c>
      <c r="G41" s="354">
        <v>2.17</v>
      </c>
      <c r="H41" s="354">
        <v>3.43</v>
      </c>
      <c r="I41" s="354">
        <v>4.9000000000000004</v>
      </c>
      <c r="J41" s="354">
        <v>6.58</v>
      </c>
      <c r="K41" s="354">
        <v>7.42</v>
      </c>
      <c r="L41" s="354">
        <v>8.26</v>
      </c>
      <c r="M41" s="354">
        <v>10.01</v>
      </c>
      <c r="N41" s="354">
        <v>11.76</v>
      </c>
      <c r="O41" s="354">
        <v>13.44</v>
      </c>
      <c r="P41">
        <f t="shared" si="0"/>
        <v>0</v>
      </c>
      <c r="Q41">
        <f>HLOOKUP($C$15,$C$34:$O$86,8,0)</f>
        <v>7.42</v>
      </c>
      <c r="R41">
        <f t="shared" si="1"/>
        <v>0</v>
      </c>
      <c r="S41">
        <f t="shared" si="2"/>
        <v>0</v>
      </c>
      <c r="T41">
        <f>HLOOKUP($E$15,$C$34:$O$86,8,0)</f>
        <v>0.28000000000000003</v>
      </c>
      <c r="U41">
        <f t="shared" si="3"/>
        <v>0</v>
      </c>
      <c r="V41" s="96">
        <f t="shared" si="4"/>
        <v>0</v>
      </c>
      <c r="W41" s="96">
        <f>HLOOKUP($G$15,$C$34:$O$86,8,0)</f>
        <v>0.28000000000000003</v>
      </c>
      <c r="X41" s="96">
        <f t="shared" si="5"/>
        <v>0</v>
      </c>
      <c r="Y41" s="96">
        <f t="shared" si="6"/>
        <v>0</v>
      </c>
      <c r="Z41" s="96">
        <f>HLOOKUP($I$15,$C$34:$O$86,8,0)</f>
        <v>0.28000000000000003</v>
      </c>
      <c r="AA41" s="96">
        <f t="shared" si="7"/>
        <v>0</v>
      </c>
    </row>
    <row r="42" spans="1:27" ht="13.8" x14ac:dyDescent="0.25">
      <c r="A42" s="345"/>
      <c r="B42" s="353">
        <v>8</v>
      </c>
      <c r="C42" s="354">
        <v>0.35</v>
      </c>
      <c r="D42" s="354">
        <v>0.77</v>
      </c>
      <c r="E42" s="354">
        <v>1.05</v>
      </c>
      <c r="F42" s="354">
        <v>1.4</v>
      </c>
      <c r="G42" s="354">
        <v>2.2400000000000002</v>
      </c>
      <c r="H42" s="354">
        <v>3.36</v>
      </c>
      <c r="I42" s="354">
        <v>4.62</v>
      </c>
      <c r="J42" s="354">
        <v>6.09</v>
      </c>
      <c r="K42" s="354">
        <v>6.93</v>
      </c>
      <c r="L42" s="354">
        <v>7.7</v>
      </c>
      <c r="M42" s="354">
        <v>9.3800000000000008</v>
      </c>
      <c r="N42" s="354">
        <v>11.06</v>
      </c>
      <c r="O42" s="354">
        <v>12.81</v>
      </c>
      <c r="P42">
        <f t="shared" si="0"/>
        <v>0</v>
      </c>
      <c r="Q42">
        <f>HLOOKUP($C$15,$C$34:$O$86,9,0)</f>
        <v>6.93</v>
      </c>
      <c r="R42">
        <f t="shared" si="1"/>
        <v>0</v>
      </c>
      <c r="S42">
        <f t="shared" si="2"/>
        <v>0</v>
      </c>
      <c r="T42">
        <f>HLOOKUP($E$15,$C$34:$O$86,9,0)</f>
        <v>0.35</v>
      </c>
      <c r="U42">
        <f t="shared" si="3"/>
        <v>0</v>
      </c>
      <c r="V42" s="96">
        <f t="shared" si="4"/>
        <v>0</v>
      </c>
      <c r="W42" s="96">
        <f>HLOOKUP($G$15,$C$34:$O$86,9,0)</f>
        <v>0.35</v>
      </c>
      <c r="X42" s="96">
        <f t="shared" si="5"/>
        <v>0</v>
      </c>
      <c r="Y42" s="96">
        <f t="shared" si="6"/>
        <v>0</v>
      </c>
      <c r="Z42" s="96">
        <f>HLOOKUP($I$15,$C$34:$O$86,9,0)</f>
        <v>0.35</v>
      </c>
      <c r="AA42" s="96">
        <f t="shared" si="7"/>
        <v>0</v>
      </c>
    </row>
    <row r="43" spans="1:27" ht="13.8" x14ac:dyDescent="0.25">
      <c r="A43" s="345"/>
      <c r="B43" s="353">
        <v>9</v>
      </c>
      <c r="C43" s="354">
        <v>0.21</v>
      </c>
      <c r="D43" s="354">
        <v>0.49</v>
      </c>
      <c r="E43" s="354">
        <v>0.7</v>
      </c>
      <c r="F43" s="354">
        <v>0.98</v>
      </c>
      <c r="G43" s="354">
        <v>1.61</v>
      </c>
      <c r="H43" s="354">
        <v>2.52</v>
      </c>
      <c r="I43" s="354">
        <v>3.64</v>
      </c>
      <c r="J43" s="354">
        <v>4.9000000000000004</v>
      </c>
      <c r="K43" s="354">
        <v>5.6</v>
      </c>
      <c r="L43" s="354">
        <v>6.37</v>
      </c>
      <c r="M43" s="354">
        <v>7.91</v>
      </c>
      <c r="N43" s="354">
        <v>9.4499999999999993</v>
      </c>
      <c r="O43" s="354">
        <v>11.13</v>
      </c>
      <c r="P43">
        <f t="shared" si="0"/>
        <v>0</v>
      </c>
      <c r="Q43">
        <f>HLOOKUP($C$15,$C$34:$O$86,10,0)</f>
        <v>5.6</v>
      </c>
      <c r="R43">
        <f t="shared" si="1"/>
        <v>0</v>
      </c>
      <c r="S43">
        <f t="shared" si="2"/>
        <v>0</v>
      </c>
      <c r="T43">
        <f>HLOOKUP($E$15,$C$34:$O$86,10,0)</f>
        <v>0.21</v>
      </c>
      <c r="U43">
        <f t="shared" si="3"/>
        <v>0</v>
      </c>
      <c r="V43" s="96">
        <f t="shared" si="4"/>
        <v>0</v>
      </c>
      <c r="W43" s="96">
        <f>HLOOKUP($G$15,$C$34:$O$86,10,0)</f>
        <v>0.21</v>
      </c>
      <c r="X43" s="96">
        <f t="shared" si="5"/>
        <v>0</v>
      </c>
      <c r="Y43" s="96">
        <f t="shared" si="6"/>
        <v>0</v>
      </c>
      <c r="Z43" s="96">
        <f>HLOOKUP($I$15,$C$34:$O$86,10,0)</f>
        <v>0.21</v>
      </c>
      <c r="AA43" s="96">
        <f t="shared" si="7"/>
        <v>0</v>
      </c>
    </row>
    <row r="44" spans="1:27" ht="13.8" x14ac:dyDescent="0.25">
      <c r="A44" s="350" t="s">
        <v>544</v>
      </c>
      <c r="B44" s="351">
        <v>10</v>
      </c>
      <c r="C44" s="352">
        <v>0.14000000000000001</v>
      </c>
      <c r="D44" s="352">
        <v>0.28000000000000003</v>
      </c>
      <c r="E44" s="352">
        <v>0.42</v>
      </c>
      <c r="F44" s="352">
        <v>0.63</v>
      </c>
      <c r="G44" s="352">
        <v>1.1200000000000001</v>
      </c>
      <c r="H44" s="352">
        <v>1.82</v>
      </c>
      <c r="I44" s="352">
        <v>2.87</v>
      </c>
      <c r="J44" s="352">
        <v>4.13</v>
      </c>
      <c r="K44" s="352">
        <v>4.83</v>
      </c>
      <c r="L44" s="352">
        <v>5.53</v>
      </c>
      <c r="M44" s="352">
        <v>7.14</v>
      </c>
      <c r="N44" s="352">
        <v>8.75</v>
      </c>
      <c r="O44" s="352">
        <v>10.43</v>
      </c>
      <c r="P44">
        <f t="shared" si="0"/>
        <v>0</v>
      </c>
      <c r="Q44">
        <f>HLOOKUP($C$15,$C$34:$O$86,11,0)</f>
        <v>4.83</v>
      </c>
      <c r="R44">
        <f t="shared" si="1"/>
        <v>0</v>
      </c>
      <c r="S44">
        <f t="shared" si="2"/>
        <v>0</v>
      </c>
      <c r="T44">
        <f>HLOOKUP($E$15,$C$34:$O$86,11,0)</f>
        <v>0.14000000000000001</v>
      </c>
      <c r="U44">
        <f t="shared" si="3"/>
        <v>0</v>
      </c>
      <c r="V44" s="96">
        <f t="shared" si="4"/>
        <v>0</v>
      </c>
      <c r="W44" s="96">
        <f>HLOOKUP($G$15,$C$34:$O$86,11,0)</f>
        <v>0.14000000000000001</v>
      </c>
      <c r="X44" s="96">
        <f t="shared" si="5"/>
        <v>0</v>
      </c>
      <c r="Y44" s="96">
        <f t="shared" si="6"/>
        <v>0</v>
      </c>
      <c r="Z44" s="96">
        <f>HLOOKUP($I$15,$C$34:$O$86,11,0)</f>
        <v>0.14000000000000001</v>
      </c>
      <c r="AA44" s="96">
        <f t="shared" si="7"/>
        <v>0</v>
      </c>
    </row>
    <row r="45" spans="1:27" ht="13.8" x14ac:dyDescent="0.25">
      <c r="A45" s="345"/>
      <c r="B45" s="353">
        <v>11</v>
      </c>
      <c r="C45" s="354">
        <v>0.14000000000000001</v>
      </c>
      <c r="D45" s="354">
        <v>0.35</v>
      </c>
      <c r="E45" s="354">
        <v>0.49</v>
      </c>
      <c r="F45" s="354">
        <v>0.77</v>
      </c>
      <c r="G45" s="354">
        <v>1.4</v>
      </c>
      <c r="H45" s="354">
        <v>2.4500000000000002</v>
      </c>
      <c r="I45" s="354">
        <v>3.78</v>
      </c>
      <c r="J45" s="354">
        <v>5.32</v>
      </c>
      <c r="K45" s="354">
        <v>6.16</v>
      </c>
      <c r="L45" s="354">
        <v>7</v>
      </c>
      <c r="M45" s="354">
        <v>8.75</v>
      </c>
      <c r="N45" s="354">
        <v>10.64</v>
      </c>
      <c r="O45" s="354">
        <v>12.53</v>
      </c>
      <c r="P45">
        <f t="shared" si="0"/>
        <v>0</v>
      </c>
      <c r="Q45">
        <f>HLOOKUP($C$15,$C$34:$O$86,12,0)</f>
        <v>6.16</v>
      </c>
      <c r="R45">
        <f t="shared" si="1"/>
        <v>0</v>
      </c>
      <c r="S45">
        <f t="shared" si="2"/>
        <v>0</v>
      </c>
      <c r="T45">
        <f>HLOOKUP($E$15,$C$34:$O$86,12,0)</f>
        <v>0.14000000000000001</v>
      </c>
      <c r="U45">
        <f t="shared" si="3"/>
        <v>0</v>
      </c>
      <c r="V45" s="96">
        <f t="shared" si="4"/>
        <v>0</v>
      </c>
      <c r="W45" s="96">
        <f>HLOOKUP($G$15,$C$34:$O$86,12,0)</f>
        <v>0.14000000000000001</v>
      </c>
      <c r="X45" s="96">
        <f t="shared" si="5"/>
        <v>0</v>
      </c>
      <c r="Y45" s="96">
        <f t="shared" si="6"/>
        <v>0</v>
      </c>
      <c r="Z45" s="96">
        <f>HLOOKUP($I$15,$C$34:$O$86,12,0)</f>
        <v>0.14000000000000001</v>
      </c>
      <c r="AA45" s="96">
        <f t="shared" si="7"/>
        <v>0</v>
      </c>
    </row>
    <row r="46" spans="1:27" ht="13.8" x14ac:dyDescent="0.25">
      <c r="A46" s="345"/>
      <c r="B46" s="353">
        <v>12</v>
      </c>
      <c r="C46" s="354">
        <v>0.14000000000000001</v>
      </c>
      <c r="D46" s="354">
        <v>0.35</v>
      </c>
      <c r="E46" s="354">
        <v>0.56000000000000005</v>
      </c>
      <c r="F46" s="354">
        <v>0.84</v>
      </c>
      <c r="G46" s="354">
        <v>1.68</v>
      </c>
      <c r="H46" s="354">
        <v>2.8</v>
      </c>
      <c r="I46" s="354">
        <v>4.13</v>
      </c>
      <c r="J46" s="354">
        <v>5.81</v>
      </c>
      <c r="K46" s="354">
        <v>6.72</v>
      </c>
      <c r="L46" s="354">
        <v>7.63</v>
      </c>
      <c r="M46" s="354">
        <v>9.52</v>
      </c>
      <c r="N46" s="354">
        <v>11.48</v>
      </c>
      <c r="O46" s="354">
        <v>13.44</v>
      </c>
      <c r="P46">
        <f t="shared" si="0"/>
        <v>0</v>
      </c>
      <c r="Q46">
        <f>HLOOKUP($C$15,$C$34:$O$86,13,0)</f>
        <v>6.72</v>
      </c>
      <c r="R46">
        <f t="shared" si="1"/>
        <v>0</v>
      </c>
      <c r="S46">
        <f t="shared" si="2"/>
        <v>0</v>
      </c>
      <c r="T46">
        <f>HLOOKUP($E$15,$C$34:$O$86,13,0)</f>
        <v>0.14000000000000001</v>
      </c>
      <c r="U46">
        <f t="shared" si="3"/>
        <v>0</v>
      </c>
      <c r="V46" s="96">
        <f t="shared" si="4"/>
        <v>0</v>
      </c>
      <c r="W46" s="96">
        <f>HLOOKUP($G$15,$C$34:$O$86,13,0)</f>
        <v>0.14000000000000001</v>
      </c>
      <c r="X46" s="96">
        <f t="shared" si="5"/>
        <v>0</v>
      </c>
      <c r="Y46" s="96">
        <f t="shared" si="6"/>
        <v>0</v>
      </c>
      <c r="Z46" s="96">
        <f>HLOOKUP($I$15,$C$34:$O$86,13,0)</f>
        <v>0.14000000000000001</v>
      </c>
      <c r="AA46" s="96">
        <f t="shared" si="7"/>
        <v>0</v>
      </c>
    </row>
    <row r="47" spans="1:27" ht="13.8" x14ac:dyDescent="0.25">
      <c r="A47" s="345"/>
      <c r="B47" s="353">
        <v>13</v>
      </c>
      <c r="C47" s="354">
        <v>7.0000000000000007E-2</v>
      </c>
      <c r="D47" s="354">
        <v>0.21</v>
      </c>
      <c r="E47" s="354">
        <v>0.35</v>
      </c>
      <c r="F47" s="354">
        <v>0.56000000000000005</v>
      </c>
      <c r="G47" s="354">
        <v>1.05</v>
      </c>
      <c r="H47" s="354">
        <v>1.96</v>
      </c>
      <c r="I47" s="354">
        <v>3.22</v>
      </c>
      <c r="J47" s="354">
        <v>4.76</v>
      </c>
      <c r="K47" s="354">
        <v>5.53</v>
      </c>
      <c r="L47" s="354">
        <v>6.44</v>
      </c>
      <c r="M47" s="354">
        <v>8.19</v>
      </c>
      <c r="N47" s="354">
        <v>10.08</v>
      </c>
      <c r="O47" s="354">
        <v>12.04</v>
      </c>
      <c r="P47">
        <f t="shared" si="0"/>
        <v>0</v>
      </c>
      <c r="Q47">
        <f>HLOOKUP($C$15,$C$34:$O$86,14,0)</f>
        <v>5.53</v>
      </c>
      <c r="R47">
        <f t="shared" si="1"/>
        <v>0</v>
      </c>
      <c r="S47">
        <f t="shared" si="2"/>
        <v>0</v>
      </c>
      <c r="T47">
        <f>HLOOKUP($E$15,$C$34:$O$86,14,0)</f>
        <v>7.0000000000000007E-2</v>
      </c>
      <c r="U47">
        <f t="shared" si="3"/>
        <v>0</v>
      </c>
      <c r="V47" s="96">
        <f t="shared" si="4"/>
        <v>0</v>
      </c>
      <c r="W47" s="96">
        <f>HLOOKUP($G$15,$C$34:$O$86,14,0)</f>
        <v>7.0000000000000007E-2</v>
      </c>
      <c r="X47" s="96">
        <f t="shared" si="5"/>
        <v>0</v>
      </c>
      <c r="Y47" s="96">
        <f t="shared" si="6"/>
        <v>0</v>
      </c>
      <c r="Z47" s="96">
        <f>HLOOKUP($I$15,$C$34:$O$86,14,0)</f>
        <v>7.0000000000000007E-2</v>
      </c>
      <c r="AA47" s="96">
        <f t="shared" si="7"/>
        <v>0</v>
      </c>
    </row>
    <row r="48" spans="1:27" ht="13.8" x14ac:dyDescent="0.25">
      <c r="A48" s="350" t="s">
        <v>545</v>
      </c>
      <c r="B48" s="351">
        <v>14</v>
      </c>
      <c r="C48" s="352">
        <v>7.0000000000000007E-2</v>
      </c>
      <c r="D48" s="352">
        <v>0.21</v>
      </c>
      <c r="E48" s="352">
        <v>0.28000000000000003</v>
      </c>
      <c r="F48" s="352">
        <v>0.42</v>
      </c>
      <c r="G48" s="352">
        <v>0.84</v>
      </c>
      <c r="H48" s="352">
        <v>1.47</v>
      </c>
      <c r="I48" s="352">
        <v>2.38</v>
      </c>
      <c r="J48" s="352">
        <v>3.64</v>
      </c>
      <c r="K48" s="352">
        <v>4.41</v>
      </c>
      <c r="L48" s="352">
        <v>5.18</v>
      </c>
      <c r="M48" s="352">
        <v>6.86</v>
      </c>
      <c r="N48" s="352">
        <v>8.68</v>
      </c>
      <c r="O48" s="352">
        <v>10.5</v>
      </c>
      <c r="P48">
        <f t="shared" si="0"/>
        <v>0</v>
      </c>
      <c r="Q48">
        <f>HLOOKUP($C$15,$C$34:$O$86,15,0)</f>
        <v>4.41</v>
      </c>
      <c r="R48">
        <f t="shared" si="1"/>
        <v>0</v>
      </c>
      <c r="S48">
        <f t="shared" si="2"/>
        <v>0</v>
      </c>
      <c r="T48">
        <f>HLOOKUP($E$15,$C$34:$O$86,15,0)</f>
        <v>7.0000000000000007E-2</v>
      </c>
      <c r="U48">
        <f t="shared" si="3"/>
        <v>0</v>
      </c>
      <c r="V48" s="96">
        <f t="shared" si="4"/>
        <v>0</v>
      </c>
      <c r="W48" s="96">
        <f>HLOOKUP($G$15,$C$34:$O$86,15,0)</f>
        <v>7.0000000000000007E-2</v>
      </c>
      <c r="X48" s="96">
        <f t="shared" si="5"/>
        <v>0</v>
      </c>
      <c r="Y48" s="96">
        <f t="shared" si="6"/>
        <v>0</v>
      </c>
      <c r="Z48" s="96">
        <f>HLOOKUP($I$15,$C$34:$O$86,15,0)</f>
        <v>7.0000000000000007E-2</v>
      </c>
      <c r="AA48" s="96">
        <f t="shared" si="7"/>
        <v>0</v>
      </c>
    </row>
    <row r="49" spans="1:27" ht="13.8" x14ac:dyDescent="0.25">
      <c r="A49" s="345"/>
      <c r="B49" s="353">
        <v>15</v>
      </c>
      <c r="C49" s="354">
        <v>0.14000000000000001</v>
      </c>
      <c r="D49" s="354">
        <v>0.28000000000000003</v>
      </c>
      <c r="E49" s="354">
        <v>0.35</v>
      </c>
      <c r="F49" s="354">
        <v>0.49</v>
      </c>
      <c r="G49" s="354">
        <v>0.84</v>
      </c>
      <c r="H49" s="354">
        <v>1.4</v>
      </c>
      <c r="I49" s="354">
        <v>2.0299999999999998</v>
      </c>
      <c r="J49" s="354">
        <v>2.94</v>
      </c>
      <c r="K49" s="354">
        <v>3.5</v>
      </c>
      <c r="L49" s="354">
        <v>4.13</v>
      </c>
      <c r="M49" s="354">
        <v>5.46</v>
      </c>
      <c r="N49" s="354">
        <v>6.93</v>
      </c>
      <c r="O49" s="354">
        <v>8.4700000000000006</v>
      </c>
      <c r="P49">
        <f t="shared" si="0"/>
        <v>0</v>
      </c>
      <c r="Q49">
        <f>HLOOKUP($C$15,$C$34:$O$86,16,0)</f>
        <v>3.5</v>
      </c>
      <c r="R49">
        <f t="shared" si="1"/>
        <v>0</v>
      </c>
      <c r="S49">
        <f t="shared" si="2"/>
        <v>0</v>
      </c>
      <c r="T49">
        <f>HLOOKUP($E$15,$C$34:$O$86,16,0)</f>
        <v>0.14000000000000001</v>
      </c>
      <c r="U49">
        <f t="shared" si="3"/>
        <v>0</v>
      </c>
      <c r="V49" s="96">
        <f t="shared" si="4"/>
        <v>0</v>
      </c>
      <c r="W49" s="96">
        <f>HLOOKUP($G$15,$C$34:$O$86,16,0)</f>
        <v>0.14000000000000001</v>
      </c>
      <c r="X49" s="96">
        <f t="shared" si="5"/>
        <v>0</v>
      </c>
      <c r="Y49" s="96">
        <f t="shared" si="6"/>
        <v>0</v>
      </c>
      <c r="Z49" s="96">
        <f>HLOOKUP($I$15,$C$34:$O$86,16,0)</f>
        <v>0.14000000000000001</v>
      </c>
      <c r="AA49" s="96">
        <f t="shared" si="7"/>
        <v>0</v>
      </c>
    </row>
    <row r="50" spans="1:27" ht="13.8" x14ac:dyDescent="0.25">
      <c r="A50" s="345"/>
      <c r="B50" s="353">
        <v>16</v>
      </c>
      <c r="C50" s="354"/>
      <c r="D50" s="354">
        <v>0.14000000000000001</v>
      </c>
      <c r="E50" s="354">
        <v>0.21</v>
      </c>
      <c r="F50" s="354">
        <v>0.28000000000000003</v>
      </c>
      <c r="G50" s="354">
        <v>0.63</v>
      </c>
      <c r="H50" s="354">
        <v>1.1200000000000001</v>
      </c>
      <c r="I50" s="354">
        <v>1.75</v>
      </c>
      <c r="J50" s="354">
        <v>2.66</v>
      </c>
      <c r="K50" s="354">
        <v>3.22</v>
      </c>
      <c r="L50" s="354">
        <v>3.78</v>
      </c>
      <c r="M50" s="354">
        <v>5.04</v>
      </c>
      <c r="N50" s="354">
        <v>6.37</v>
      </c>
      <c r="O50" s="354">
        <v>7.91</v>
      </c>
      <c r="P50">
        <f t="shared" si="0"/>
        <v>0</v>
      </c>
      <c r="Q50">
        <f>HLOOKUP($C$15,$C$34:$O$86,17,0)</f>
        <v>3.22</v>
      </c>
      <c r="R50">
        <f t="shared" si="1"/>
        <v>0</v>
      </c>
      <c r="S50">
        <f t="shared" si="2"/>
        <v>0</v>
      </c>
      <c r="T50">
        <f>HLOOKUP($E$15,$C$34:$O$86,17,0)</f>
        <v>0</v>
      </c>
      <c r="U50">
        <f t="shared" si="3"/>
        <v>0</v>
      </c>
      <c r="V50" s="96">
        <f t="shared" si="4"/>
        <v>0</v>
      </c>
      <c r="W50" s="96">
        <f>HLOOKUP($G$15,$C$34:$O$86,17,0)</f>
        <v>0</v>
      </c>
      <c r="X50" s="96">
        <f t="shared" si="5"/>
        <v>0</v>
      </c>
      <c r="Y50" s="96">
        <f t="shared" si="6"/>
        <v>0</v>
      </c>
      <c r="Z50" s="96">
        <f>HLOOKUP($I$15,$C$34:$O$86,17,0)</f>
        <v>0</v>
      </c>
      <c r="AA50" s="96">
        <f t="shared" si="7"/>
        <v>0</v>
      </c>
    </row>
    <row r="51" spans="1:27" ht="13.8" x14ac:dyDescent="0.25">
      <c r="A51" s="345"/>
      <c r="B51" s="353">
        <v>17</v>
      </c>
      <c r="C51" s="354"/>
      <c r="D51" s="354">
        <v>7.0000000000000007E-2</v>
      </c>
      <c r="E51" s="354">
        <v>0.14000000000000001</v>
      </c>
      <c r="F51" s="354">
        <v>0.21</v>
      </c>
      <c r="G51" s="354">
        <v>0.49</v>
      </c>
      <c r="H51" s="354">
        <v>0.98</v>
      </c>
      <c r="I51" s="354">
        <v>1.68</v>
      </c>
      <c r="J51" s="354">
        <v>2.59</v>
      </c>
      <c r="K51" s="354">
        <v>3.15</v>
      </c>
      <c r="L51" s="354">
        <v>3.78</v>
      </c>
      <c r="M51" s="354">
        <v>5.18</v>
      </c>
      <c r="N51" s="354">
        <v>6.72</v>
      </c>
      <c r="O51" s="354">
        <v>8.4</v>
      </c>
      <c r="P51">
        <f t="shared" si="0"/>
        <v>0</v>
      </c>
      <c r="Q51">
        <f>HLOOKUP($C$15,$C$34:$O$86,18,0)</f>
        <v>3.15</v>
      </c>
      <c r="R51">
        <f t="shared" si="1"/>
        <v>0</v>
      </c>
      <c r="S51">
        <f t="shared" si="2"/>
        <v>0</v>
      </c>
      <c r="T51">
        <f>HLOOKUP($E$15,$C$34:$O$86,18,0)</f>
        <v>0</v>
      </c>
      <c r="U51">
        <f t="shared" si="3"/>
        <v>0</v>
      </c>
      <c r="V51" s="96">
        <f t="shared" si="4"/>
        <v>0</v>
      </c>
      <c r="W51" s="96">
        <f>HLOOKUP($G$15,$C$34:$O$86,18,0)</f>
        <v>0</v>
      </c>
      <c r="X51" s="96">
        <f t="shared" si="5"/>
        <v>0</v>
      </c>
      <c r="Y51" s="96">
        <f t="shared" si="6"/>
        <v>0</v>
      </c>
      <c r="Z51" s="96">
        <f>HLOOKUP($I$15,$C$34:$O$86,18,0)</f>
        <v>0</v>
      </c>
      <c r="AA51" s="96">
        <f t="shared" si="7"/>
        <v>0</v>
      </c>
    </row>
    <row r="52" spans="1:27" ht="13.8" x14ac:dyDescent="0.25">
      <c r="A52" s="345"/>
      <c r="B52" s="353">
        <v>18</v>
      </c>
      <c r="C52" s="354"/>
      <c r="D52" s="354"/>
      <c r="E52" s="354"/>
      <c r="F52" s="354">
        <v>7.0000000000000007E-2</v>
      </c>
      <c r="G52" s="354">
        <v>0.21</v>
      </c>
      <c r="H52" s="354">
        <v>0.56000000000000005</v>
      </c>
      <c r="I52" s="354">
        <v>1.1200000000000001</v>
      </c>
      <c r="J52" s="354">
        <v>2.0299999999999998</v>
      </c>
      <c r="K52" s="354">
        <v>2.52</v>
      </c>
      <c r="L52" s="354">
        <v>3.15</v>
      </c>
      <c r="M52" s="354">
        <v>4.41</v>
      </c>
      <c r="N52" s="354">
        <v>5.74</v>
      </c>
      <c r="O52" s="354">
        <v>7.28</v>
      </c>
      <c r="P52">
        <f t="shared" si="0"/>
        <v>0</v>
      </c>
      <c r="Q52">
        <f>HLOOKUP($C$15,$C$34:$O$86,19,0)</f>
        <v>2.52</v>
      </c>
      <c r="R52">
        <f t="shared" si="1"/>
        <v>0</v>
      </c>
      <c r="S52">
        <f t="shared" si="2"/>
        <v>0</v>
      </c>
      <c r="T52">
        <f>HLOOKUP($E$15,$C$34:$O$86,19,0)</f>
        <v>0</v>
      </c>
      <c r="U52">
        <f t="shared" si="3"/>
        <v>0</v>
      </c>
      <c r="V52" s="96">
        <f t="shared" si="4"/>
        <v>0</v>
      </c>
      <c r="W52" s="96">
        <f>HLOOKUP($G$15,$C$34:$O$86,19,0)</f>
        <v>0</v>
      </c>
      <c r="X52" s="96">
        <f t="shared" si="5"/>
        <v>0</v>
      </c>
      <c r="Y52" s="96">
        <f t="shared" si="6"/>
        <v>0</v>
      </c>
      <c r="Z52" s="96">
        <f>HLOOKUP($I$15,$C$34:$O$86,19,0)</f>
        <v>0</v>
      </c>
      <c r="AA52" s="96">
        <f t="shared" si="7"/>
        <v>0</v>
      </c>
    </row>
    <row r="53" spans="1:27" ht="13.8" x14ac:dyDescent="0.25">
      <c r="A53" s="350" t="s">
        <v>546</v>
      </c>
      <c r="B53" s="351">
        <v>19</v>
      </c>
      <c r="C53" s="352"/>
      <c r="D53" s="352"/>
      <c r="E53" s="352"/>
      <c r="F53" s="352"/>
      <c r="G53" s="352">
        <v>7.0000000000000007E-2</v>
      </c>
      <c r="H53" s="352">
        <v>0.21</v>
      </c>
      <c r="I53" s="352">
        <v>0.49</v>
      </c>
      <c r="J53" s="352">
        <v>0.98</v>
      </c>
      <c r="K53" s="352">
        <v>1.26</v>
      </c>
      <c r="L53" s="352">
        <v>1.54</v>
      </c>
      <c r="M53" s="352">
        <v>2.2400000000000002</v>
      </c>
      <c r="N53" s="352">
        <v>3.08</v>
      </c>
      <c r="O53" s="352">
        <v>4.0599999999999996</v>
      </c>
      <c r="P53">
        <f t="shared" si="0"/>
        <v>1</v>
      </c>
      <c r="Q53">
        <f>HLOOKUP($C$15,$C$34:$O$86,20,0)</f>
        <v>1.26</v>
      </c>
      <c r="R53">
        <f t="shared" si="1"/>
        <v>1.26</v>
      </c>
      <c r="S53">
        <f t="shared" si="2"/>
        <v>0</v>
      </c>
      <c r="T53">
        <f>HLOOKUP($E$15,$C$34:$O$86,20,0)</f>
        <v>0</v>
      </c>
      <c r="U53">
        <f t="shared" si="3"/>
        <v>0</v>
      </c>
      <c r="V53" s="96">
        <f t="shared" si="4"/>
        <v>0</v>
      </c>
      <c r="W53" s="96">
        <f>HLOOKUP($G$15,$C$34:$O$86,20,0)</f>
        <v>0</v>
      </c>
      <c r="X53" s="96">
        <f t="shared" si="5"/>
        <v>0</v>
      </c>
      <c r="Y53" s="96">
        <f t="shared" si="6"/>
        <v>0</v>
      </c>
      <c r="Z53" s="96">
        <f>HLOOKUP($I$15,$C$34:$O$86,20,0)</f>
        <v>0</v>
      </c>
      <c r="AA53" s="96">
        <f t="shared" si="7"/>
        <v>0</v>
      </c>
    </row>
    <row r="54" spans="1:27" ht="13.8" x14ac:dyDescent="0.25">
      <c r="A54" s="345"/>
      <c r="B54" s="353">
        <v>20</v>
      </c>
      <c r="C54" s="354"/>
      <c r="D54" s="354"/>
      <c r="E54" s="354"/>
      <c r="F54" s="354"/>
      <c r="G54" s="354">
        <v>7.0000000000000007E-2</v>
      </c>
      <c r="H54" s="354">
        <v>0.21</v>
      </c>
      <c r="I54" s="354">
        <v>0.56000000000000005</v>
      </c>
      <c r="J54" s="354">
        <v>0.98</v>
      </c>
      <c r="K54" s="354">
        <v>1.33</v>
      </c>
      <c r="L54" s="354">
        <v>1.68</v>
      </c>
      <c r="M54" s="354">
        <v>2.4500000000000002</v>
      </c>
      <c r="N54" s="354">
        <v>3.5</v>
      </c>
      <c r="O54" s="354">
        <v>4.6900000000000004</v>
      </c>
      <c r="P54">
        <f t="shared" si="0"/>
        <v>1</v>
      </c>
      <c r="Q54">
        <f>HLOOKUP($C$15,$C$34:$O$86,21,0)</f>
        <v>1.33</v>
      </c>
      <c r="R54">
        <f t="shared" si="1"/>
        <v>1.33</v>
      </c>
      <c r="S54">
        <f t="shared" si="2"/>
        <v>0</v>
      </c>
      <c r="T54">
        <f>HLOOKUP($E$15,$C$34:$O$86,21,0)</f>
        <v>0</v>
      </c>
      <c r="U54">
        <f t="shared" si="3"/>
        <v>0</v>
      </c>
      <c r="V54" s="96">
        <f t="shared" si="4"/>
        <v>0</v>
      </c>
      <c r="W54" s="96">
        <f>HLOOKUP($G$15,$C$34:$O$86,21,0)</f>
        <v>0</v>
      </c>
      <c r="X54" s="96">
        <f t="shared" si="5"/>
        <v>0</v>
      </c>
      <c r="Y54" s="96">
        <f t="shared" si="6"/>
        <v>0</v>
      </c>
      <c r="Z54" s="96">
        <f>HLOOKUP($I$15,$C$34:$O$86,21,0)</f>
        <v>0</v>
      </c>
      <c r="AA54" s="96">
        <f t="shared" si="7"/>
        <v>0</v>
      </c>
    </row>
    <row r="55" spans="1:27" ht="13.8" x14ac:dyDescent="0.25">
      <c r="A55" s="345"/>
      <c r="B55" s="353">
        <v>21</v>
      </c>
      <c r="C55" s="354"/>
      <c r="D55" s="354"/>
      <c r="E55" s="354"/>
      <c r="F55" s="354"/>
      <c r="G55" s="354">
        <v>0.14000000000000001</v>
      </c>
      <c r="H55" s="354">
        <v>0.35</v>
      </c>
      <c r="I55" s="354">
        <v>0.7</v>
      </c>
      <c r="J55" s="354">
        <v>1.26</v>
      </c>
      <c r="K55" s="354">
        <v>1.61</v>
      </c>
      <c r="L55" s="354">
        <v>2.1</v>
      </c>
      <c r="M55" s="354">
        <v>3.08</v>
      </c>
      <c r="N55" s="354">
        <v>4.2699999999999996</v>
      </c>
      <c r="O55" s="354">
        <v>5.67</v>
      </c>
      <c r="P55">
        <f t="shared" si="0"/>
        <v>1</v>
      </c>
      <c r="Q55">
        <f>HLOOKUP($C$15,$C$34:$O$86,22,0)</f>
        <v>1.61</v>
      </c>
      <c r="R55">
        <f t="shared" si="1"/>
        <v>1.61</v>
      </c>
      <c r="S55">
        <f t="shared" si="2"/>
        <v>0</v>
      </c>
      <c r="T55">
        <f>HLOOKUP($E$15,$C$34:$O$86,22,0)</f>
        <v>0</v>
      </c>
      <c r="U55">
        <f t="shared" si="3"/>
        <v>0</v>
      </c>
      <c r="V55" s="96">
        <f t="shared" si="4"/>
        <v>0</v>
      </c>
      <c r="W55" s="96">
        <f>HLOOKUP($G$15,$C$34:$O$86,22,0)</f>
        <v>0</v>
      </c>
      <c r="X55" s="96">
        <f t="shared" si="5"/>
        <v>0</v>
      </c>
      <c r="Y55" s="96">
        <f t="shared" si="6"/>
        <v>0</v>
      </c>
      <c r="Z55" s="96">
        <f>HLOOKUP($I$15,$C$34:$O$86,22,0)</f>
        <v>0</v>
      </c>
      <c r="AA55" s="96">
        <f t="shared" si="7"/>
        <v>0</v>
      </c>
    </row>
    <row r="56" spans="1:27" ht="13.8" x14ac:dyDescent="0.25">
      <c r="A56" s="345"/>
      <c r="B56" s="353">
        <v>22</v>
      </c>
      <c r="C56" s="354"/>
      <c r="D56" s="354"/>
      <c r="E56" s="354"/>
      <c r="F56" s="354"/>
      <c r="G56" s="354">
        <v>7.0000000000000007E-2</v>
      </c>
      <c r="H56" s="354">
        <v>0.28000000000000003</v>
      </c>
      <c r="I56" s="354">
        <v>0.56000000000000005</v>
      </c>
      <c r="J56" s="354">
        <v>1.1200000000000001</v>
      </c>
      <c r="K56" s="354">
        <v>1.54</v>
      </c>
      <c r="L56" s="354">
        <v>2.0299999999999998</v>
      </c>
      <c r="M56" s="354">
        <v>3.15</v>
      </c>
      <c r="N56" s="354">
        <v>4.41</v>
      </c>
      <c r="O56" s="354">
        <v>5.95</v>
      </c>
      <c r="P56">
        <f t="shared" si="0"/>
        <v>1</v>
      </c>
      <c r="Q56">
        <f>HLOOKUP($C$15,$C$34:$O$86,23,0)</f>
        <v>1.54</v>
      </c>
      <c r="R56">
        <f t="shared" si="1"/>
        <v>1.54</v>
      </c>
      <c r="S56">
        <f t="shared" si="2"/>
        <v>0</v>
      </c>
      <c r="T56">
        <f>HLOOKUP($E$15,$C$34:$O$86,23,0)</f>
        <v>0</v>
      </c>
      <c r="U56">
        <f t="shared" si="3"/>
        <v>0</v>
      </c>
      <c r="V56" s="96">
        <f t="shared" si="4"/>
        <v>0</v>
      </c>
      <c r="W56" s="96">
        <f>HLOOKUP($G$15,$C$34:$O$86,23,0)</f>
        <v>0</v>
      </c>
      <c r="X56" s="96">
        <f t="shared" si="5"/>
        <v>0</v>
      </c>
      <c r="Y56" s="96">
        <f t="shared" si="6"/>
        <v>0</v>
      </c>
      <c r="Z56" s="96">
        <f>HLOOKUP($I$15,$C$34:$O$86,23,0)</f>
        <v>0</v>
      </c>
      <c r="AA56" s="96">
        <f t="shared" si="7"/>
        <v>0</v>
      </c>
    </row>
    <row r="57" spans="1:27" ht="13.8" x14ac:dyDescent="0.25">
      <c r="A57" s="350" t="s">
        <v>547</v>
      </c>
      <c r="B57" s="351">
        <v>23</v>
      </c>
      <c r="C57" s="352"/>
      <c r="D57" s="352"/>
      <c r="E57" s="352"/>
      <c r="F57" s="352"/>
      <c r="G57" s="352"/>
      <c r="H57" s="352">
        <v>7.0000000000000007E-2</v>
      </c>
      <c r="I57" s="352">
        <v>0.21</v>
      </c>
      <c r="J57" s="352">
        <v>0.49</v>
      </c>
      <c r="K57" s="352">
        <v>0.63</v>
      </c>
      <c r="L57" s="352">
        <v>0.91</v>
      </c>
      <c r="M57" s="352">
        <v>1.68</v>
      </c>
      <c r="N57" s="352">
        <v>2.66</v>
      </c>
      <c r="O57" s="352">
        <v>3.78</v>
      </c>
      <c r="P57">
        <f t="shared" si="0"/>
        <v>1</v>
      </c>
      <c r="Q57">
        <f>HLOOKUP($C$15,$C$34:$O$86,24,0)</f>
        <v>0.63</v>
      </c>
      <c r="R57">
        <f t="shared" si="1"/>
        <v>0.63</v>
      </c>
      <c r="S57">
        <f t="shared" si="2"/>
        <v>0</v>
      </c>
      <c r="T57">
        <f>HLOOKUP($E$15,$C$34:$O$86,24,0)</f>
        <v>0</v>
      </c>
      <c r="U57">
        <f t="shared" si="3"/>
        <v>0</v>
      </c>
      <c r="V57" s="96">
        <f t="shared" si="4"/>
        <v>0</v>
      </c>
      <c r="W57" s="96">
        <f>HLOOKUP($G$15,$C$34:$O$86,24,0)</f>
        <v>0</v>
      </c>
      <c r="X57" s="96">
        <f t="shared" si="5"/>
        <v>0</v>
      </c>
      <c r="Y57" s="96">
        <f t="shared" si="6"/>
        <v>0</v>
      </c>
      <c r="Z57" s="96">
        <f>HLOOKUP($I$15,$C$34:$O$86,24,0)</f>
        <v>0</v>
      </c>
      <c r="AA57" s="96">
        <f t="shared" si="7"/>
        <v>0</v>
      </c>
    </row>
    <row r="58" spans="1:27" ht="13.8" x14ac:dyDescent="0.25">
      <c r="A58" s="345"/>
      <c r="B58" s="353">
        <v>24</v>
      </c>
      <c r="C58" s="354"/>
      <c r="D58" s="354"/>
      <c r="E58" s="354"/>
      <c r="F58" s="354"/>
      <c r="G58" s="354"/>
      <c r="H58" s="354"/>
      <c r="I58" s="354">
        <v>7.0000000000000007E-2</v>
      </c>
      <c r="J58" s="354">
        <v>0.28000000000000003</v>
      </c>
      <c r="K58" s="354">
        <v>0.42</v>
      </c>
      <c r="L58" s="354">
        <v>0.56000000000000005</v>
      </c>
      <c r="M58" s="354">
        <v>1.1200000000000001</v>
      </c>
      <c r="N58" s="354">
        <v>1.89</v>
      </c>
      <c r="O58" s="354">
        <v>2.87</v>
      </c>
      <c r="P58">
        <f t="shared" si="0"/>
        <v>1</v>
      </c>
      <c r="Q58">
        <f>HLOOKUP($C$15,$C$34:$O$86,25,0)</f>
        <v>0.42</v>
      </c>
      <c r="R58">
        <f t="shared" si="1"/>
        <v>0.42</v>
      </c>
      <c r="S58">
        <f t="shared" si="2"/>
        <v>0</v>
      </c>
      <c r="T58">
        <f>HLOOKUP($E$15,$C$34:$O$86,25,0)</f>
        <v>0</v>
      </c>
      <c r="U58">
        <f t="shared" si="3"/>
        <v>0</v>
      </c>
      <c r="V58" s="96">
        <f t="shared" si="4"/>
        <v>0</v>
      </c>
      <c r="W58" s="96">
        <f>HLOOKUP($G$15,$C$34:$O$86,25,0)</f>
        <v>0</v>
      </c>
      <c r="X58" s="96">
        <f t="shared" si="5"/>
        <v>0</v>
      </c>
      <c r="Y58" s="96">
        <f t="shared" si="6"/>
        <v>0</v>
      </c>
      <c r="Z58" s="96">
        <f>HLOOKUP($I$15,$C$34:$O$86,25,0)</f>
        <v>0</v>
      </c>
      <c r="AA58" s="96">
        <f t="shared" si="7"/>
        <v>0</v>
      </c>
    </row>
    <row r="59" spans="1:27" ht="13.8" x14ac:dyDescent="0.25">
      <c r="A59" s="345"/>
      <c r="B59" s="353">
        <v>25</v>
      </c>
      <c r="C59" s="354"/>
      <c r="D59" s="354"/>
      <c r="E59" s="354"/>
      <c r="F59" s="354"/>
      <c r="G59" s="354"/>
      <c r="H59" s="354"/>
      <c r="I59" s="354">
        <v>7.0000000000000007E-2</v>
      </c>
      <c r="J59" s="354">
        <v>0.28000000000000003</v>
      </c>
      <c r="K59" s="354">
        <v>0.42</v>
      </c>
      <c r="L59" s="354">
        <v>0.7</v>
      </c>
      <c r="M59" s="354">
        <v>1.1200000000000001</v>
      </c>
      <c r="N59" s="354">
        <v>1.89</v>
      </c>
      <c r="O59" s="354">
        <v>2.87</v>
      </c>
      <c r="P59">
        <f t="shared" si="0"/>
        <v>1</v>
      </c>
      <c r="Q59">
        <f>HLOOKUP($C$15,$C$34:$O$86,26,0)</f>
        <v>0.42</v>
      </c>
      <c r="R59">
        <f t="shared" si="1"/>
        <v>0.42</v>
      </c>
      <c r="S59">
        <f t="shared" si="2"/>
        <v>0</v>
      </c>
      <c r="T59">
        <f>HLOOKUP($E$15,$C$34:$O$86,26,0)</f>
        <v>0</v>
      </c>
      <c r="U59">
        <f t="shared" si="3"/>
        <v>0</v>
      </c>
      <c r="V59" s="96">
        <f t="shared" si="4"/>
        <v>0</v>
      </c>
      <c r="W59" s="96">
        <f>HLOOKUP($G$15,$C$34:$O$86,26,0)</f>
        <v>0</v>
      </c>
      <c r="X59" s="96">
        <f t="shared" si="5"/>
        <v>0</v>
      </c>
      <c r="Y59" s="96">
        <f t="shared" si="6"/>
        <v>0</v>
      </c>
      <c r="Z59" s="96">
        <f>HLOOKUP($I$15,$C$34:$O$86,26,0)</f>
        <v>0</v>
      </c>
      <c r="AA59" s="96">
        <f t="shared" si="7"/>
        <v>0</v>
      </c>
    </row>
    <row r="60" spans="1:27" ht="13.8" x14ac:dyDescent="0.25">
      <c r="A60" s="345"/>
      <c r="B60" s="353">
        <v>26</v>
      </c>
      <c r="C60" s="354"/>
      <c r="D60" s="354"/>
      <c r="E60" s="354"/>
      <c r="F60" s="354"/>
      <c r="G60" s="354"/>
      <c r="H60" s="354"/>
      <c r="I60" s="354">
        <v>0.14000000000000001</v>
      </c>
      <c r="J60" s="354">
        <v>0.35</v>
      </c>
      <c r="K60" s="354">
        <v>0.49</v>
      </c>
      <c r="L60" s="354">
        <v>0.56000000000000005</v>
      </c>
      <c r="M60" s="354">
        <v>1.33</v>
      </c>
      <c r="N60" s="354">
        <v>2.1</v>
      </c>
      <c r="O60" s="354">
        <v>3.22</v>
      </c>
      <c r="P60">
        <f t="shared" si="0"/>
        <v>0</v>
      </c>
      <c r="Q60">
        <f>HLOOKUP($C$15,$C$34:$O$86,27,0)</f>
        <v>0.49</v>
      </c>
      <c r="R60">
        <f t="shared" si="1"/>
        <v>0</v>
      </c>
      <c r="S60">
        <f t="shared" si="2"/>
        <v>0</v>
      </c>
      <c r="T60">
        <f>HLOOKUP($E$15,$C$34:$O$86,27,0)</f>
        <v>0</v>
      </c>
      <c r="U60">
        <f t="shared" si="3"/>
        <v>0</v>
      </c>
      <c r="V60" s="96">
        <f t="shared" si="4"/>
        <v>0</v>
      </c>
      <c r="W60" s="96">
        <f>HLOOKUP($G$15,$C$34:$O$86,27,0)</f>
        <v>0</v>
      </c>
      <c r="X60" s="96">
        <f t="shared" si="5"/>
        <v>0</v>
      </c>
      <c r="Y60" s="96">
        <f t="shared" si="6"/>
        <v>0</v>
      </c>
      <c r="Z60" s="96">
        <f>HLOOKUP($I$15,$C$34:$O$86,27,0)</f>
        <v>0</v>
      </c>
      <c r="AA60" s="96">
        <f t="shared" si="7"/>
        <v>0</v>
      </c>
    </row>
    <row r="61" spans="1:27" ht="13.8" x14ac:dyDescent="0.25">
      <c r="A61" s="350" t="s">
        <v>548</v>
      </c>
      <c r="B61" s="351">
        <v>27</v>
      </c>
      <c r="C61" s="352"/>
      <c r="D61" s="352"/>
      <c r="E61" s="352"/>
      <c r="F61" s="352"/>
      <c r="G61" s="352"/>
      <c r="H61" s="352"/>
      <c r="I61" s="352">
        <v>7.0000000000000007E-2</v>
      </c>
      <c r="J61" s="352">
        <v>0.28000000000000003</v>
      </c>
      <c r="K61" s="352">
        <v>0.42</v>
      </c>
      <c r="L61" s="352">
        <v>0.56000000000000005</v>
      </c>
      <c r="M61" s="352">
        <v>1.1200000000000001</v>
      </c>
      <c r="N61" s="352">
        <v>1.89</v>
      </c>
      <c r="O61" s="352">
        <v>2.94</v>
      </c>
      <c r="P61">
        <f t="shared" si="0"/>
        <v>0</v>
      </c>
      <c r="Q61">
        <f>HLOOKUP($C$15,$C$34:$O$86,28,0)</f>
        <v>0.42</v>
      </c>
      <c r="R61">
        <f t="shared" si="1"/>
        <v>0</v>
      </c>
      <c r="S61">
        <f t="shared" si="2"/>
        <v>0</v>
      </c>
      <c r="T61">
        <f>HLOOKUP($E$15,$C$34:$O$86,28,0)</f>
        <v>0</v>
      </c>
      <c r="U61">
        <f t="shared" si="3"/>
        <v>0</v>
      </c>
      <c r="V61" s="96">
        <f t="shared" si="4"/>
        <v>0</v>
      </c>
      <c r="W61" s="96">
        <f>HLOOKUP($G$15,$C$34:$O$86,28,0)</f>
        <v>0</v>
      </c>
      <c r="X61" s="96">
        <f t="shared" si="5"/>
        <v>0</v>
      </c>
      <c r="Y61" s="96">
        <f t="shared" si="6"/>
        <v>0</v>
      </c>
      <c r="Z61" s="96">
        <f>HLOOKUP($I$15,$C$34:$O$86,28,0)</f>
        <v>0</v>
      </c>
      <c r="AA61" s="96">
        <f t="shared" si="7"/>
        <v>0</v>
      </c>
    </row>
    <row r="62" spans="1:27" ht="13.8" x14ac:dyDescent="0.25">
      <c r="A62" s="345"/>
      <c r="B62" s="353">
        <v>28</v>
      </c>
      <c r="C62" s="354"/>
      <c r="D62" s="354"/>
      <c r="E62" s="354"/>
      <c r="F62" s="354"/>
      <c r="G62" s="354"/>
      <c r="H62" s="354"/>
      <c r="I62" s="354"/>
      <c r="J62" s="354">
        <v>7.0000000000000007E-2</v>
      </c>
      <c r="K62" s="354">
        <v>0.14000000000000001</v>
      </c>
      <c r="L62" s="354">
        <v>0.56000000000000005</v>
      </c>
      <c r="M62" s="354">
        <v>0.49</v>
      </c>
      <c r="N62" s="354">
        <v>0.98</v>
      </c>
      <c r="O62" s="354">
        <v>1.68</v>
      </c>
      <c r="P62">
        <f t="shared" si="0"/>
        <v>0</v>
      </c>
      <c r="Q62">
        <f>HLOOKUP($C$15,$C$34:$O$86,29,0)</f>
        <v>0.14000000000000001</v>
      </c>
      <c r="R62">
        <f t="shared" si="1"/>
        <v>0</v>
      </c>
      <c r="S62">
        <f t="shared" si="2"/>
        <v>0</v>
      </c>
      <c r="T62">
        <f>HLOOKUP($E$15,$C$34:$O$86,29,0)</f>
        <v>0</v>
      </c>
      <c r="U62">
        <f t="shared" si="3"/>
        <v>0</v>
      </c>
      <c r="V62" s="96">
        <f t="shared" si="4"/>
        <v>0</v>
      </c>
      <c r="W62" s="96">
        <f>HLOOKUP($G$15,$C$34:$O$86,29,0)</f>
        <v>0</v>
      </c>
      <c r="X62" s="96">
        <f t="shared" si="5"/>
        <v>0</v>
      </c>
      <c r="Y62" s="96">
        <f t="shared" si="6"/>
        <v>0</v>
      </c>
      <c r="Z62" s="96">
        <f>HLOOKUP($I$15,$C$34:$O$86,29,0)</f>
        <v>0</v>
      </c>
      <c r="AA62" s="96">
        <f t="shared" si="7"/>
        <v>0</v>
      </c>
    </row>
    <row r="63" spans="1:27" ht="13.8" x14ac:dyDescent="0.25">
      <c r="A63" s="345"/>
      <c r="B63" s="353">
        <v>29</v>
      </c>
      <c r="C63" s="354"/>
      <c r="D63" s="354"/>
      <c r="E63" s="354"/>
      <c r="F63" s="354"/>
      <c r="G63" s="354"/>
      <c r="H63" s="354"/>
      <c r="I63" s="354"/>
      <c r="J63" s="354">
        <v>7.0000000000000007E-2</v>
      </c>
      <c r="K63" s="354">
        <v>0.14000000000000001</v>
      </c>
      <c r="L63" s="354">
        <v>0.7</v>
      </c>
      <c r="M63" s="354">
        <v>0.63</v>
      </c>
      <c r="N63" s="354">
        <v>1.26</v>
      </c>
      <c r="O63" s="354">
        <v>2.1</v>
      </c>
      <c r="P63">
        <f t="shared" si="0"/>
        <v>0</v>
      </c>
      <c r="Q63">
        <f>HLOOKUP($C$15,$C$34:$O$86,30,0)</f>
        <v>0.14000000000000001</v>
      </c>
      <c r="R63">
        <f t="shared" si="1"/>
        <v>0</v>
      </c>
      <c r="S63">
        <f t="shared" si="2"/>
        <v>1</v>
      </c>
      <c r="T63">
        <f>HLOOKUP($E$15,$C$34:$O$86,30,0)</f>
        <v>0</v>
      </c>
      <c r="U63">
        <f t="shared" si="3"/>
        <v>0</v>
      </c>
      <c r="V63" s="96">
        <f t="shared" si="4"/>
        <v>1</v>
      </c>
      <c r="W63" s="96">
        <f>HLOOKUP($G$15,$C$34:$O$86,30,0)</f>
        <v>0</v>
      </c>
      <c r="X63" s="96">
        <f t="shared" si="5"/>
        <v>0</v>
      </c>
      <c r="Y63" s="96">
        <f t="shared" si="6"/>
        <v>1</v>
      </c>
      <c r="Z63" s="96">
        <f>HLOOKUP($I$15,$C$34:$O$86,30,0)</f>
        <v>0</v>
      </c>
      <c r="AA63" s="96">
        <f t="shared" si="7"/>
        <v>0</v>
      </c>
    </row>
    <row r="64" spans="1:27" ht="13.8" x14ac:dyDescent="0.25">
      <c r="A64" s="345"/>
      <c r="B64" s="353">
        <v>30</v>
      </c>
      <c r="C64" s="354"/>
      <c r="D64" s="354"/>
      <c r="E64" s="354"/>
      <c r="F64" s="354"/>
      <c r="G64" s="354"/>
      <c r="H64" s="354"/>
      <c r="I64" s="354"/>
      <c r="J64" s="354">
        <v>0.14000000000000001</v>
      </c>
      <c r="K64" s="354">
        <v>0.28000000000000003</v>
      </c>
      <c r="L64" s="354">
        <v>0.42</v>
      </c>
      <c r="M64" s="354">
        <v>0.91</v>
      </c>
      <c r="N64" s="354">
        <v>1.61</v>
      </c>
      <c r="O64" s="354">
        <v>2.52</v>
      </c>
      <c r="P64">
        <f t="shared" si="0"/>
        <v>0</v>
      </c>
      <c r="Q64">
        <f>HLOOKUP($C$15,$C$34:$O$86,31,0)</f>
        <v>0.28000000000000003</v>
      </c>
      <c r="R64">
        <f t="shared" si="1"/>
        <v>0</v>
      </c>
      <c r="S64">
        <f t="shared" si="2"/>
        <v>1</v>
      </c>
      <c r="T64">
        <f>HLOOKUP($E$15,$C$34:$O$86,31,0)</f>
        <v>0</v>
      </c>
      <c r="U64">
        <f t="shared" si="3"/>
        <v>0</v>
      </c>
      <c r="V64" s="96">
        <f t="shared" si="4"/>
        <v>1</v>
      </c>
      <c r="W64" s="96">
        <f>HLOOKUP($G$15,$C$34:$O$86,31,0)</f>
        <v>0</v>
      </c>
      <c r="X64" s="96">
        <f t="shared" si="5"/>
        <v>0</v>
      </c>
      <c r="Y64" s="96">
        <f t="shared" si="6"/>
        <v>1</v>
      </c>
      <c r="Z64" s="96">
        <f>HLOOKUP($I$15,$C$34:$O$86,31,0)</f>
        <v>0</v>
      </c>
      <c r="AA64" s="96">
        <f t="shared" si="7"/>
        <v>0</v>
      </c>
    </row>
    <row r="65" spans="1:27" ht="13.8" x14ac:dyDescent="0.25">
      <c r="A65" s="345"/>
      <c r="B65" s="353">
        <v>31</v>
      </c>
      <c r="C65" s="354"/>
      <c r="D65" s="354"/>
      <c r="E65" s="354"/>
      <c r="F65" s="354"/>
      <c r="G65" s="354"/>
      <c r="H65" s="354"/>
      <c r="I65" s="354"/>
      <c r="J65" s="354">
        <v>0.14000000000000001</v>
      </c>
      <c r="K65" s="354">
        <v>0.21</v>
      </c>
      <c r="L65" s="354">
        <v>0.28000000000000003</v>
      </c>
      <c r="M65" s="354">
        <v>0.63</v>
      </c>
      <c r="N65" s="354">
        <v>1.19</v>
      </c>
      <c r="O65" s="354">
        <v>1.82</v>
      </c>
      <c r="P65">
        <f t="shared" si="0"/>
        <v>0</v>
      </c>
      <c r="Q65">
        <f>HLOOKUP($C$15,$C$34:$O$86,32,0)</f>
        <v>0.21</v>
      </c>
      <c r="R65">
        <f t="shared" si="1"/>
        <v>0</v>
      </c>
      <c r="S65">
        <f t="shared" si="2"/>
        <v>0</v>
      </c>
      <c r="T65">
        <f>HLOOKUP($E$15,$C$34:$O$86,32,0)</f>
        <v>0</v>
      </c>
      <c r="U65">
        <f t="shared" si="3"/>
        <v>0</v>
      </c>
      <c r="V65" s="96">
        <f t="shared" si="4"/>
        <v>0</v>
      </c>
      <c r="W65" s="96">
        <f>HLOOKUP($G$15,$C$34:$O$86,32,0)</f>
        <v>0</v>
      </c>
      <c r="X65" s="96">
        <f t="shared" si="5"/>
        <v>0</v>
      </c>
      <c r="Y65" s="96">
        <f t="shared" si="6"/>
        <v>0</v>
      </c>
      <c r="Z65" s="96">
        <f>HLOOKUP($I$15,$C$34:$O$86,32,0)</f>
        <v>0</v>
      </c>
      <c r="AA65" s="96">
        <f t="shared" si="7"/>
        <v>0</v>
      </c>
    </row>
    <row r="66" spans="1:27" ht="13.8" x14ac:dyDescent="0.25">
      <c r="A66" s="350" t="s">
        <v>549</v>
      </c>
      <c r="B66" s="351">
        <v>32</v>
      </c>
      <c r="C66" s="352"/>
      <c r="D66" s="352"/>
      <c r="E66" s="352"/>
      <c r="F66" s="352"/>
      <c r="G66" s="352"/>
      <c r="H66" s="352"/>
      <c r="I66" s="352"/>
      <c r="J66" s="352">
        <v>7.0000000000000007E-2</v>
      </c>
      <c r="K66" s="352">
        <v>0.14000000000000001</v>
      </c>
      <c r="L66" s="352">
        <v>0.21</v>
      </c>
      <c r="M66" s="352">
        <v>0.49</v>
      </c>
      <c r="N66" s="352">
        <v>0.91</v>
      </c>
      <c r="O66" s="352">
        <v>1.47</v>
      </c>
      <c r="P66">
        <f t="shared" si="0"/>
        <v>0</v>
      </c>
      <c r="Q66">
        <f>HLOOKUP($C$15,$C$34:$O$86,33,0)</f>
        <v>0.14000000000000001</v>
      </c>
      <c r="R66">
        <f t="shared" si="1"/>
        <v>0</v>
      </c>
      <c r="S66">
        <f t="shared" si="2"/>
        <v>0</v>
      </c>
      <c r="T66">
        <f>HLOOKUP($E$15,$C$34:$O$86,33,0)</f>
        <v>0</v>
      </c>
      <c r="U66">
        <f t="shared" si="3"/>
        <v>0</v>
      </c>
      <c r="V66" s="96">
        <f t="shared" si="4"/>
        <v>0</v>
      </c>
      <c r="W66" s="96">
        <f>HLOOKUP($G$15,$C$34:$O$86,33,0)</f>
        <v>0</v>
      </c>
      <c r="X66" s="96">
        <f t="shared" si="5"/>
        <v>0</v>
      </c>
      <c r="Y66" s="96">
        <f t="shared" si="6"/>
        <v>0</v>
      </c>
      <c r="Z66" s="96">
        <f>HLOOKUP($I$15,$C$34:$O$86,33,0)</f>
        <v>0</v>
      </c>
      <c r="AA66" s="96">
        <f t="shared" si="7"/>
        <v>0</v>
      </c>
    </row>
    <row r="67" spans="1:27" ht="13.8" x14ac:dyDescent="0.25">
      <c r="A67" s="345"/>
      <c r="B67" s="353">
        <v>33</v>
      </c>
      <c r="C67" s="354"/>
      <c r="D67" s="354"/>
      <c r="E67" s="354"/>
      <c r="F67" s="354"/>
      <c r="G67" s="354"/>
      <c r="H67" s="354"/>
      <c r="I67" s="354">
        <v>7.0000000000000007E-2</v>
      </c>
      <c r="J67" s="354">
        <v>0.14000000000000001</v>
      </c>
      <c r="K67" s="354">
        <v>0.14000000000000001</v>
      </c>
      <c r="L67" s="354">
        <v>0.21</v>
      </c>
      <c r="M67" s="354">
        <v>0.49</v>
      </c>
      <c r="N67" s="354">
        <v>0.91</v>
      </c>
      <c r="O67" s="354">
        <v>1.54</v>
      </c>
      <c r="P67">
        <f t="shared" ref="P67:P86" si="8">IF($C$11&lt;$C$12,IF(AND($C$11&lt;=B67,$C$12&gt;=B67),1,0),IF(OR(B67&lt;=$C$12,B67&gt;=$C$11),1,0))</f>
        <v>0</v>
      </c>
      <c r="Q67">
        <f>HLOOKUP($C$15,$C$34:$O$86,34,0)</f>
        <v>0.14000000000000001</v>
      </c>
      <c r="R67">
        <f t="shared" ref="R67:R98" si="9">IF(P67=1,Q67,0)</f>
        <v>0</v>
      </c>
      <c r="S67">
        <f t="shared" ref="S67:S86" si="10">IF($E$11&lt;$E$12,IF(AND($E$11&lt;=B67,$E$12&gt;=B67),1,0),IF(OR(B67&lt;=$E$12,B67&gt;=$E$11),1,0))</f>
        <v>0</v>
      </c>
      <c r="T67">
        <f>HLOOKUP($E$15,$C$34:$O$86,34,0)</f>
        <v>0</v>
      </c>
      <c r="U67">
        <f t="shared" ref="U67:U98" si="11">IF(S67=1,T67,0)</f>
        <v>0</v>
      </c>
      <c r="V67" s="96">
        <f t="shared" ref="V67:V86" si="12">IF($G$11&lt;$G$12,IF(AND($G$11&lt;=B67,$G$12&gt;=B67),1,0),IF(OR(B67&lt;=$G$12,B67&gt;=$G$11),1,0))</f>
        <v>0</v>
      </c>
      <c r="W67" s="96">
        <f>HLOOKUP($G$15,$C$34:$O$86,34,0)</f>
        <v>0</v>
      </c>
      <c r="X67" s="96">
        <f t="shared" ref="X67:X98" si="13">IF(V67=1,W67,0)</f>
        <v>0</v>
      </c>
      <c r="Y67" s="96">
        <f t="shared" ref="Y67:Y86" si="14">IF($I$11&lt;$I$12,IF(AND($I$11&lt;=B67,$I$12&gt;=B67),1,0),IF(OR(B67&lt;=$I$12,B67&gt;=$I$11),1,0))</f>
        <v>0</v>
      </c>
      <c r="Z67" s="96">
        <f>HLOOKUP($I$15,$C$34:$O$86,34,0)</f>
        <v>0</v>
      </c>
      <c r="AA67" s="96">
        <f t="shared" ref="AA67:AA98" si="15">IF(Y67=1,Z67,0)</f>
        <v>0</v>
      </c>
    </row>
    <row r="68" spans="1:27" ht="13.8" x14ac:dyDescent="0.25">
      <c r="A68" s="345"/>
      <c r="B68" s="353">
        <v>34</v>
      </c>
      <c r="C68" s="354"/>
      <c r="D68" s="354"/>
      <c r="E68" s="354"/>
      <c r="F68" s="354"/>
      <c r="G68" s="354"/>
      <c r="H68" s="354"/>
      <c r="I68" s="354">
        <v>0.14000000000000001</v>
      </c>
      <c r="J68" s="354">
        <v>0.28000000000000003</v>
      </c>
      <c r="K68" s="354">
        <v>0.35</v>
      </c>
      <c r="L68" s="354">
        <v>0.49</v>
      </c>
      <c r="M68" s="354">
        <v>0.84</v>
      </c>
      <c r="N68" s="354">
        <v>1.4</v>
      </c>
      <c r="O68" s="354">
        <v>2.2400000000000002</v>
      </c>
      <c r="P68">
        <f t="shared" si="8"/>
        <v>0</v>
      </c>
      <c r="Q68">
        <f>HLOOKUP($C$15,$C$34:$O$86,35,0)</f>
        <v>0.35</v>
      </c>
      <c r="R68">
        <f t="shared" si="9"/>
        <v>0</v>
      </c>
      <c r="S68">
        <f t="shared" si="10"/>
        <v>0</v>
      </c>
      <c r="T68">
        <f>HLOOKUP($E$15,$C$34:$O$86,35,0)</f>
        <v>0</v>
      </c>
      <c r="U68">
        <f t="shared" si="11"/>
        <v>0</v>
      </c>
      <c r="V68" s="96">
        <f t="shared" si="12"/>
        <v>0</v>
      </c>
      <c r="W68" s="96">
        <f>HLOOKUP($G$15,$C$34:$O$86,35,0)</f>
        <v>0</v>
      </c>
      <c r="X68" s="96">
        <f t="shared" si="13"/>
        <v>0</v>
      </c>
      <c r="Y68" s="96">
        <f t="shared" si="14"/>
        <v>0</v>
      </c>
      <c r="Z68" s="96">
        <f>HLOOKUP($I$15,$C$34:$O$86,35,0)</f>
        <v>0</v>
      </c>
      <c r="AA68" s="96">
        <f t="shared" si="15"/>
        <v>0</v>
      </c>
    </row>
    <row r="69" spans="1:27" ht="13.8" x14ac:dyDescent="0.25">
      <c r="A69" s="345"/>
      <c r="B69" s="353">
        <v>35</v>
      </c>
      <c r="C69" s="354"/>
      <c r="D69" s="354"/>
      <c r="E69" s="354"/>
      <c r="F69" s="354"/>
      <c r="G69" s="354"/>
      <c r="H69" s="354"/>
      <c r="I69" s="354">
        <v>0.08</v>
      </c>
      <c r="J69" s="354">
        <v>7.0000000000000007E-2</v>
      </c>
      <c r="K69" s="354">
        <v>0.14000000000000001</v>
      </c>
      <c r="L69" s="354">
        <v>0.28000000000000003</v>
      </c>
      <c r="M69" s="354">
        <v>0.63</v>
      </c>
      <c r="N69" s="354">
        <v>1.19</v>
      </c>
      <c r="O69" s="354">
        <v>2.0299999999999998</v>
      </c>
      <c r="P69">
        <f t="shared" si="8"/>
        <v>0</v>
      </c>
      <c r="Q69">
        <f>HLOOKUP($C$15,$C$34:$O$86,36,0)</f>
        <v>0.14000000000000001</v>
      </c>
      <c r="R69">
        <f t="shared" si="9"/>
        <v>0</v>
      </c>
      <c r="S69">
        <f t="shared" si="10"/>
        <v>0</v>
      </c>
      <c r="T69">
        <f>HLOOKUP($E$15,$C$34:$O$86,36,0)</f>
        <v>0</v>
      </c>
      <c r="U69">
        <f t="shared" si="11"/>
        <v>0</v>
      </c>
      <c r="V69" s="96">
        <f t="shared" si="12"/>
        <v>0</v>
      </c>
      <c r="W69" s="96">
        <f>HLOOKUP($G$15,$C$34:$O$86,36,0)</f>
        <v>0</v>
      </c>
      <c r="X69" s="96">
        <f t="shared" si="13"/>
        <v>0</v>
      </c>
      <c r="Y69" s="96">
        <f t="shared" si="14"/>
        <v>0</v>
      </c>
      <c r="Z69" s="96">
        <f>HLOOKUP($I$15,$C$34:$O$86,36,0)</f>
        <v>0</v>
      </c>
      <c r="AA69" s="96">
        <f t="shared" si="15"/>
        <v>0</v>
      </c>
    </row>
    <row r="70" spans="1:27" ht="13.8" x14ac:dyDescent="0.25">
      <c r="A70" s="350" t="s">
        <v>550</v>
      </c>
      <c r="B70" s="351">
        <v>36</v>
      </c>
      <c r="C70" s="352"/>
      <c r="D70" s="352"/>
      <c r="E70" s="352"/>
      <c r="F70" s="352"/>
      <c r="G70" s="352"/>
      <c r="H70" s="352"/>
      <c r="I70" s="352">
        <v>7.0000000000000007E-2</v>
      </c>
      <c r="J70" s="352">
        <v>0.14000000000000001</v>
      </c>
      <c r="K70" s="352">
        <v>0.21</v>
      </c>
      <c r="L70" s="352">
        <v>0.35</v>
      </c>
      <c r="M70" s="352">
        <v>0.7</v>
      </c>
      <c r="N70" s="352">
        <v>1.33</v>
      </c>
      <c r="O70" s="352">
        <v>2.17</v>
      </c>
      <c r="P70">
        <f t="shared" si="8"/>
        <v>0</v>
      </c>
      <c r="Q70">
        <f>HLOOKUP($C$15,$C$34:$O$86,37,0)</f>
        <v>0.21</v>
      </c>
      <c r="R70">
        <f t="shared" si="9"/>
        <v>0</v>
      </c>
      <c r="S70">
        <f t="shared" si="10"/>
        <v>0</v>
      </c>
      <c r="T70">
        <f>HLOOKUP($E$15,$C$34:$O$86,37,0)</f>
        <v>0</v>
      </c>
      <c r="U70">
        <f t="shared" si="11"/>
        <v>0</v>
      </c>
      <c r="V70" s="96">
        <f t="shared" si="12"/>
        <v>0</v>
      </c>
      <c r="W70" s="96">
        <f>HLOOKUP($G$15,$C$34:$O$86,37,0)</f>
        <v>0</v>
      </c>
      <c r="X70" s="96">
        <f t="shared" si="13"/>
        <v>0</v>
      </c>
      <c r="Y70" s="96">
        <f t="shared" si="14"/>
        <v>0</v>
      </c>
      <c r="Z70" s="96">
        <f>HLOOKUP($I$15,$C$34:$O$86,37,0)</f>
        <v>0</v>
      </c>
      <c r="AA70" s="96">
        <f t="shared" si="15"/>
        <v>0</v>
      </c>
    </row>
    <row r="71" spans="1:27" ht="13.8" x14ac:dyDescent="0.25">
      <c r="A71" s="345"/>
      <c r="B71" s="353">
        <v>37</v>
      </c>
      <c r="C71" s="354"/>
      <c r="D71" s="354"/>
      <c r="E71" s="354"/>
      <c r="F71" s="354"/>
      <c r="G71" s="354"/>
      <c r="H71" s="354"/>
      <c r="I71" s="354">
        <v>0.14000000000000001</v>
      </c>
      <c r="J71" s="354">
        <v>0.35</v>
      </c>
      <c r="K71" s="354">
        <v>0.42</v>
      </c>
      <c r="L71" s="354">
        <v>0.63</v>
      </c>
      <c r="M71" s="354">
        <v>1.1200000000000001</v>
      </c>
      <c r="N71" s="354">
        <v>1.82</v>
      </c>
      <c r="O71" s="354">
        <v>2.73</v>
      </c>
      <c r="P71">
        <f t="shared" si="8"/>
        <v>0</v>
      </c>
      <c r="Q71">
        <f>HLOOKUP($C$15,$C$34:$O$86,38,0)</f>
        <v>0.42</v>
      </c>
      <c r="R71">
        <f t="shared" si="9"/>
        <v>0</v>
      </c>
      <c r="S71">
        <f t="shared" si="10"/>
        <v>0</v>
      </c>
      <c r="T71">
        <f>HLOOKUP($E$15,$C$34:$O$86,38,0)</f>
        <v>0</v>
      </c>
      <c r="U71">
        <f t="shared" si="11"/>
        <v>0</v>
      </c>
      <c r="V71" s="96">
        <f t="shared" si="12"/>
        <v>0</v>
      </c>
      <c r="W71" s="96">
        <f>HLOOKUP($G$15,$C$34:$O$86,38,0)</f>
        <v>0</v>
      </c>
      <c r="X71" s="96">
        <f t="shared" si="13"/>
        <v>0</v>
      </c>
      <c r="Y71" s="96">
        <f t="shared" si="14"/>
        <v>0</v>
      </c>
      <c r="Z71" s="96">
        <f>HLOOKUP($I$15,$C$34:$O$86,38,0)</f>
        <v>0</v>
      </c>
      <c r="AA71" s="96">
        <f t="shared" si="15"/>
        <v>0</v>
      </c>
    </row>
    <row r="72" spans="1:27" ht="13.8" x14ac:dyDescent="0.25">
      <c r="A72" s="345"/>
      <c r="B72" s="353">
        <v>38</v>
      </c>
      <c r="C72" s="354"/>
      <c r="D72" s="354"/>
      <c r="E72" s="354"/>
      <c r="F72" s="354"/>
      <c r="G72" s="354"/>
      <c r="H72" s="354">
        <v>7.0000000000000007E-2</v>
      </c>
      <c r="I72" s="354">
        <v>0.28000000000000003</v>
      </c>
      <c r="J72" s="354">
        <v>0.63</v>
      </c>
      <c r="K72" s="354">
        <v>0.84</v>
      </c>
      <c r="L72" s="354">
        <v>1.1200000000000001</v>
      </c>
      <c r="M72" s="354">
        <v>1.96</v>
      </c>
      <c r="N72" s="354">
        <v>3.01</v>
      </c>
      <c r="O72" s="354">
        <v>4.2</v>
      </c>
      <c r="P72">
        <f t="shared" si="8"/>
        <v>0</v>
      </c>
      <c r="Q72">
        <f>HLOOKUP($C$15,$C$34:$O$86,39,0)</f>
        <v>0.84</v>
      </c>
      <c r="R72">
        <f t="shared" si="9"/>
        <v>0</v>
      </c>
      <c r="S72">
        <f t="shared" si="10"/>
        <v>0</v>
      </c>
      <c r="T72">
        <f>HLOOKUP($E$15,$C$34:$O$86,39,0)</f>
        <v>0</v>
      </c>
      <c r="U72">
        <f t="shared" si="11"/>
        <v>0</v>
      </c>
      <c r="V72" s="96">
        <f t="shared" si="12"/>
        <v>0</v>
      </c>
      <c r="W72" s="96">
        <f>HLOOKUP($G$15,$C$34:$O$86,39,0)</f>
        <v>0</v>
      </c>
      <c r="X72" s="96">
        <f t="shared" si="13"/>
        <v>0</v>
      </c>
      <c r="Y72" s="96">
        <f t="shared" si="14"/>
        <v>0</v>
      </c>
      <c r="Z72" s="96">
        <f>HLOOKUP($I$15,$C$34:$O$86,39,0)</f>
        <v>0</v>
      </c>
      <c r="AA72" s="96">
        <f t="shared" si="15"/>
        <v>0</v>
      </c>
    </row>
    <row r="73" spans="1:27" ht="13.8" x14ac:dyDescent="0.25">
      <c r="A73" s="345"/>
      <c r="B73" s="353">
        <v>39</v>
      </c>
      <c r="C73" s="354"/>
      <c r="D73" s="354"/>
      <c r="E73" s="354"/>
      <c r="F73" s="354"/>
      <c r="G73" s="354">
        <v>7.0000000000000007E-2</v>
      </c>
      <c r="H73" s="354">
        <v>0.21</v>
      </c>
      <c r="I73" s="354">
        <v>0.42</v>
      </c>
      <c r="J73" s="354">
        <v>0.77</v>
      </c>
      <c r="K73" s="354">
        <v>1.05</v>
      </c>
      <c r="L73" s="354">
        <v>1.4</v>
      </c>
      <c r="M73" s="354">
        <v>2.17</v>
      </c>
      <c r="N73" s="354">
        <v>3.29</v>
      </c>
      <c r="O73" s="354">
        <v>4.6900000000000004</v>
      </c>
      <c r="P73">
        <f t="shared" si="8"/>
        <v>0</v>
      </c>
      <c r="Q73">
        <f>HLOOKUP($C$15,$C$34:$O$86,40,0)</f>
        <v>1.05</v>
      </c>
      <c r="R73">
        <f t="shared" si="9"/>
        <v>0</v>
      </c>
      <c r="S73">
        <f t="shared" si="10"/>
        <v>0</v>
      </c>
      <c r="T73">
        <f>HLOOKUP($E$15,$C$34:$O$86,40,0)</f>
        <v>0</v>
      </c>
      <c r="U73">
        <f t="shared" si="11"/>
        <v>0</v>
      </c>
      <c r="V73" s="96">
        <f t="shared" si="12"/>
        <v>0</v>
      </c>
      <c r="W73" s="96">
        <f>HLOOKUP($G$15,$C$34:$O$86,40,0)</f>
        <v>0</v>
      </c>
      <c r="X73" s="96">
        <f t="shared" si="13"/>
        <v>0</v>
      </c>
      <c r="Y73" s="96">
        <f t="shared" si="14"/>
        <v>0</v>
      </c>
      <c r="Z73" s="96">
        <f>HLOOKUP($I$15,$C$34:$O$86,40,0)</f>
        <v>0</v>
      </c>
      <c r="AA73" s="96">
        <f t="shared" si="15"/>
        <v>0</v>
      </c>
    </row>
    <row r="74" spans="1:27" ht="13.8" x14ac:dyDescent="0.25">
      <c r="A74" s="345"/>
      <c r="B74" s="353">
        <v>40</v>
      </c>
      <c r="C74" s="354"/>
      <c r="D74" s="354"/>
      <c r="E74" s="354"/>
      <c r="F74" s="354"/>
      <c r="G74" s="354">
        <v>7.0000000000000007E-2</v>
      </c>
      <c r="H74" s="354">
        <v>0.21</v>
      </c>
      <c r="I74" s="354">
        <v>0.42</v>
      </c>
      <c r="J74" s="354">
        <v>0.84</v>
      </c>
      <c r="K74" s="354">
        <v>1.19</v>
      </c>
      <c r="L74" s="354">
        <v>1.54</v>
      </c>
      <c r="M74" s="354">
        <v>2.4500000000000002</v>
      </c>
      <c r="N74" s="354">
        <v>3.64</v>
      </c>
      <c r="O74" s="354">
        <v>5.04</v>
      </c>
      <c r="P74">
        <f t="shared" si="8"/>
        <v>0</v>
      </c>
      <c r="Q74">
        <f>HLOOKUP($C$15,$C$34:$O$86,41,0)</f>
        <v>1.19</v>
      </c>
      <c r="R74">
        <f t="shared" si="9"/>
        <v>0</v>
      </c>
      <c r="S74">
        <f t="shared" si="10"/>
        <v>0</v>
      </c>
      <c r="T74">
        <f>HLOOKUP($E$15,$C$34:$O$86,41,0)</f>
        <v>0</v>
      </c>
      <c r="U74">
        <f t="shared" si="11"/>
        <v>0</v>
      </c>
      <c r="V74" s="96">
        <f t="shared" si="12"/>
        <v>0</v>
      </c>
      <c r="W74" s="96">
        <f>HLOOKUP($G$15,$C$34:$O$86,41,0)</f>
        <v>0</v>
      </c>
      <c r="X74" s="96">
        <f t="shared" si="13"/>
        <v>0</v>
      </c>
      <c r="Y74" s="96">
        <f t="shared" si="14"/>
        <v>0</v>
      </c>
      <c r="Z74" s="96">
        <f>HLOOKUP($I$15,$C$34:$O$86,41,0)</f>
        <v>0</v>
      </c>
      <c r="AA74" s="96">
        <f t="shared" si="15"/>
        <v>0</v>
      </c>
    </row>
    <row r="75" spans="1:27" ht="13.8" x14ac:dyDescent="0.25">
      <c r="A75" s="350" t="s">
        <v>551</v>
      </c>
      <c r="B75" s="351">
        <v>41</v>
      </c>
      <c r="C75" s="352"/>
      <c r="D75" s="352"/>
      <c r="E75" s="352"/>
      <c r="F75" s="352"/>
      <c r="G75" s="352">
        <v>7.0000000000000007E-2</v>
      </c>
      <c r="H75" s="352">
        <v>0.21</v>
      </c>
      <c r="I75" s="352">
        <v>0.49</v>
      </c>
      <c r="J75" s="352">
        <v>1.1200000000000001</v>
      </c>
      <c r="K75" s="352">
        <v>1.47</v>
      </c>
      <c r="L75" s="352">
        <v>1.89</v>
      </c>
      <c r="M75" s="352">
        <v>2.87</v>
      </c>
      <c r="N75" s="352">
        <v>4.0599999999999996</v>
      </c>
      <c r="O75" s="352">
        <v>5.39</v>
      </c>
      <c r="P75">
        <f t="shared" si="8"/>
        <v>0</v>
      </c>
      <c r="Q75">
        <f>HLOOKUP($C$15,$C$34:$O$86,42,0)</f>
        <v>1.47</v>
      </c>
      <c r="R75">
        <f t="shared" si="9"/>
        <v>0</v>
      </c>
      <c r="S75">
        <f t="shared" si="10"/>
        <v>0</v>
      </c>
      <c r="T75">
        <f>HLOOKUP($E$15,$C$34:$O$86,42,0)</f>
        <v>0</v>
      </c>
      <c r="U75">
        <f t="shared" si="11"/>
        <v>0</v>
      </c>
      <c r="V75" s="96">
        <f t="shared" si="12"/>
        <v>0</v>
      </c>
      <c r="W75" s="96">
        <f>HLOOKUP($G$15,$C$34:$O$86,42,0)</f>
        <v>0</v>
      </c>
      <c r="X75" s="96">
        <f t="shared" si="13"/>
        <v>0</v>
      </c>
      <c r="Y75" s="96">
        <f t="shared" si="14"/>
        <v>0</v>
      </c>
      <c r="Z75" s="96">
        <f>HLOOKUP($I$15,$C$34:$O$86,42,0)</f>
        <v>0</v>
      </c>
      <c r="AA75" s="96">
        <f t="shared" si="15"/>
        <v>0</v>
      </c>
    </row>
    <row r="76" spans="1:27" ht="13.8" x14ac:dyDescent="0.25">
      <c r="A76" s="345"/>
      <c r="B76" s="353">
        <v>42</v>
      </c>
      <c r="C76" s="354"/>
      <c r="D76" s="354"/>
      <c r="E76" s="354"/>
      <c r="F76" s="354">
        <v>7.0000000000000007E-2</v>
      </c>
      <c r="G76" s="354">
        <v>0.21</v>
      </c>
      <c r="H76" s="354">
        <v>0.49</v>
      </c>
      <c r="I76" s="354">
        <v>1.19</v>
      </c>
      <c r="J76" s="354">
        <v>2.2400000000000002</v>
      </c>
      <c r="K76" s="354">
        <v>2.8</v>
      </c>
      <c r="L76" s="354">
        <v>3.5</v>
      </c>
      <c r="M76" s="354">
        <v>4.9000000000000004</v>
      </c>
      <c r="N76" s="354">
        <v>6.44</v>
      </c>
      <c r="O76" s="354">
        <v>7.98</v>
      </c>
      <c r="P76">
        <f t="shared" si="8"/>
        <v>0</v>
      </c>
      <c r="Q76">
        <f>HLOOKUP($C$15,$C$34:$O$86,43,0)</f>
        <v>2.8</v>
      </c>
      <c r="R76">
        <f t="shared" si="9"/>
        <v>0</v>
      </c>
      <c r="S76">
        <f t="shared" si="10"/>
        <v>0</v>
      </c>
      <c r="T76">
        <f>HLOOKUP($E$15,$C$34:$O$86,43,0)</f>
        <v>0</v>
      </c>
      <c r="U76">
        <f t="shared" si="11"/>
        <v>0</v>
      </c>
      <c r="V76" s="96">
        <f t="shared" si="12"/>
        <v>0</v>
      </c>
      <c r="W76" s="96">
        <f>HLOOKUP($G$15,$C$34:$O$86,43,0)</f>
        <v>0</v>
      </c>
      <c r="X76" s="96">
        <f t="shared" si="13"/>
        <v>0</v>
      </c>
      <c r="Y76" s="96">
        <f t="shared" si="14"/>
        <v>0</v>
      </c>
      <c r="Z76" s="96">
        <f>HLOOKUP($I$15,$C$34:$O$86,43,0)</f>
        <v>0</v>
      </c>
      <c r="AA76" s="96">
        <f t="shared" si="15"/>
        <v>0</v>
      </c>
    </row>
    <row r="77" spans="1:27" ht="13.8" x14ac:dyDescent="0.25">
      <c r="A77" s="345"/>
      <c r="B77" s="353">
        <v>43</v>
      </c>
      <c r="C77" s="354"/>
      <c r="D77" s="354"/>
      <c r="E77" s="354">
        <v>7.0000000000000007E-2</v>
      </c>
      <c r="F77" s="354">
        <v>0.14000000000000001</v>
      </c>
      <c r="G77" s="354">
        <v>0.28000000000000003</v>
      </c>
      <c r="H77" s="354">
        <v>0.63</v>
      </c>
      <c r="I77" s="354">
        <v>1.33</v>
      </c>
      <c r="J77" s="354">
        <v>2.31</v>
      </c>
      <c r="K77" s="354">
        <v>2.94</v>
      </c>
      <c r="L77" s="354">
        <v>3.64</v>
      </c>
      <c r="M77" s="354">
        <v>5.04</v>
      </c>
      <c r="N77" s="354">
        <v>6.51</v>
      </c>
      <c r="O77" s="354">
        <v>8.0500000000000007</v>
      </c>
      <c r="P77">
        <f t="shared" si="8"/>
        <v>0</v>
      </c>
      <c r="Q77">
        <f>HLOOKUP($C$15,$C$34:$O$86,44,0)</f>
        <v>2.94</v>
      </c>
      <c r="R77">
        <f t="shared" si="9"/>
        <v>0</v>
      </c>
      <c r="S77">
        <f t="shared" si="10"/>
        <v>0</v>
      </c>
      <c r="T77">
        <f>HLOOKUP($E$15,$C$34:$O$86,44,0)</f>
        <v>0</v>
      </c>
      <c r="U77">
        <f t="shared" si="11"/>
        <v>0</v>
      </c>
      <c r="V77" s="96">
        <f t="shared" si="12"/>
        <v>0</v>
      </c>
      <c r="W77" s="96">
        <f>HLOOKUP($G$15,$C$34:$O$86,44,0)</f>
        <v>0</v>
      </c>
      <c r="X77" s="96">
        <f t="shared" si="13"/>
        <v>0</v>
      </c>
      <c r="Y77" s="96">
        <f t="shared" si="14"/>
        <v>0</v>
      </c>
      <c r="Z77" s="96">
        <f>HLOOKUP($I$15,$C$34:$O$86,44,0)</f>
        <v>0</v>
      </c>
      <c r="AA77" s="96">
        <f t="shared" si="15"/>
        <v>0</v>
      </c>
    </row>
    <row r="78" spans="1:27" ht="13.8" x14ac:dyDescent="0.25">
      <c r="A78" s="345"/>
      <c r="B78" s="353">
        <v>44</v>
      </c>
      <c r="C78" s="354"/>
      <c r="D78" s="354">
        <v>7.0000000000000007E-2</v>
      </c>
      <c r="E78" s="354">
        <v>0.14000000000000001</v>
      </c>
      <c r="F78" s="354">
        <v>0.21</v>
      </c>
      <c r="G78" s="354">
        <v>0.42</v>
      </c>
      <c r="H78" s="354">
        <v>0.77</v>
      </c>
      <c r="I78" s="354">
        <v>1.4</v>
      </c>
      <c r="J78" s="354">
        <v>2.2400000000000002</v>
      </c>
      <c r="K78" s="354">
        <v>2.8</v>
      </c>
      <c r="L78" s="354">
        <v>3.36</v>
      </c>
      <c r="M78" s="354">
        <v>4.55</v>
      </c>
      <c r="N78" s="354">
        <v>5.95</v>
      </c>
      <c r="O78" s="354">
        <v>7.49</v>
      </c>
      <c r="P78">
        <f t="shared" si="8"/>
        <v>0</v>
      </c>
      <c r="Q78">
        <f>HLOOKUP($C$15,$C$34:$O$86,45,0)</f>
        <v>2.8</v>
      </c>
      <c r="R78">
        <f t="shared" si="9"/>
        <v>0</v>
      </c>
      <c r="S78">
        <f t="shared" si="10"/>
        <v>0</v>
      </c>
      <c r="T78">
        <f>HLOOKUP($E$15,$C$34:$O$86,45,0)</f>
        <v>0</v>
      </c>
      <c r="U78">
        <f t="shared" si="11"/>
        <v>0</v>
      </c>
      <c r="V78" s="96">
        <f t="shared" si="12"/>
        <v>0</v>
      </c>
      <c r="W78" s="96">
        <f>HLOOKUP($G$15,$C$34:$O$86,45,0)</f>
        <v>0</v>
      </c>
      <c r="X78" s="96">
        <f t="shared" si="13"/>
        <v>0</v>
      </c>
      <c r="Y78" s="96">
        <f t="shared" si="14"/>
        <v>0</v>
      </c>
      <c r="Z78" s="96">
        <f>HLOOKUP($I$15,$C$34:$O$86,45,0)</f>
        <v>0</v>
      </c>
      <c r="AA78" s="96">
        <f t="shared" si="15"/>
        <v>0</v>
      </c>
    </row>
    <row r="79" spans="1:27" ht="13.8" x14ac:dyDescent="0.25">
      <c r="A79" s="350" t="s">
        <v>552</v>
      </c>
      <c r="B79" s="351">
        <v>45</v>
      </c>
      <c r="C79" s="352">
        <v>7.0000000000000007E-2</v>
      </c>
      <c r="D79" s="352">
        <v>0.21</v>
      </c>
      <c r="E79" s="352">
        <v>0.28000000000000003</v>
      </c>
      <c r="F79" s="352">
        <v>0.42</v>
      </c>
      <c r="G79" s="352">
        <v>0.77</v>
      </c>
      <c r="H79" s="352">
        <v>1.47</v>
      </c>
      <c r="I79" s="352">
        <v>2.38</v>
      </c>
      <c r="J79" s="352">
        <v>3.5</v>
      </c>
      <c r="K79" s="352">
        <v>4.2</v>
      </c>
      <c r="L79" s="352">
        <v>4.9000000000000004</v>
      </c>
      <c r="M79" s="352">
        <v>6.23</v>
      </c>
      <c r="N79" s="352">
        <v>7.7</v>
      </c>
      <c r="O79" s="352">
        <v>9.24</v>
      </c>
      <c r="P79">
        <f t="shared" si="8"/>
        <v>0</v>
      </c>
      <c r="Q79">
        <f>HLOOKUP($C$15,$C$34:$O$86,46,0)</f>
        <v>4.2</v>
      </c>
      <c r="R79">
        <f t="shared" si="9"/>
        <v>0</v>
      </c>
      <c r="S79">
        <f t="shared" si="10"/>
        <v>0</v>
      </c>
      <c r="T79">
        <f>HLOOKUP($E$15,$C$34:$O$86,46,0)</f>
        <v>7.0000000000000007E-2</v>
      </c>
      <c r="U79">
        <f t="shared" si="11"/>
        <v>0</v>
      </c>
      <c r="V79" s="96">
        <f t="shared" si="12"/>
        <v>0</v>
      </c>
      <c r="W79" s="96">
        <f>HLOOKUP($G$15,$C$34:$O$86,46,0)</f>
        <v>7.0000000000000007E-2</v>
      </c>
      <c r="X79" s="96">
        <f t="shared" si="13"/>
        <v>0</v>
      </c>
      <c r="Y79" s="96">
        <f t="shared" si="14"/>
        <v>0</v>
      </c>
      <c r="Z79" s="96">
        <f>HLOOKUP($I$15,$C$34:$O$86,46,0)</f>
        <v>7.0000000000000007E-2</v>
      </c>
      <c r="AA79" s="96">
        <f t="shared" si="15"/>
        <v>0</v>
      </c>
    </row>
    <row r="80" spans="1:27" ht="13.8" x14ac:dyDescent="0.25">
      <c r="A80" s="345"/>
      <c r="B80" s="353">
        <v>46</v>
      </c>
      <c r="C80" s="354">
        <v>7.0000000000000007E-2</v>
      </c>
      <c r="D80" s="354">
        <v>0.28000000000000003</v>
      </c>
      <c r="E80" s="354">
        <v>0.42</v>
      </c>
      <c r="F80" s="354">
        <v>0.56000000000000005</v>
      </c>
      <c r="G80" s="354">
        <v>1.19</v>
      </c>
      <c r="H80" s="354">
        <v>2.17</v>
      </c>
      <c r="I80" s="354">
        <v>3.5</v>
      </c>
      <c r="J80" s="354">
        <v>4.9000000000000004</v>
      </c>
      <c r="K80" s="354">
        <v>5.67</v>
      </c>
      <c r="L80" s="354">
        <v>6.44</v>
      </c>
      <c r="M80" s="354">
        <v>7.91</v>
      </c>
      <c r="N80" s="354">
        <v>9.4499999999999993</v>
      </c>
      <c r="O80" s="354">
        <v>10.92</v>
      </c>
      <c r="P80">
        <f t="shared" si="8"/>
        <v>0</v>
      </c>
      <c r="Q80">
        <f>HLOOKUP($C$15,$C$34:$O$86,47,0)</f>
        <v>5.67</v>
      </c>
      <c r="R80">
        <f t="shared" si="9"/>
        <v>0</v>
      </c>
      <c r="S80">
        <f t="shared" si="10"/>
        <v>0</v>
      </c>
      <c r="T80">
        <f>HLOOKUP($E$15,$C$34:$O$86,47,0)</f>
        <v>7.0000000000000007E-2</v>
      </c>
      <c r="U80">
        <f t="shared" si="11"/>
        <v>0</v>
      </c>
      <c r="V80" s="96">
        <f t="shared" si="12"/>
        <v>0</v>
      </c>
      <c r="W80" s="96">
        <f>HLOOKUP($G$15,$C$34:$O$86,47,0)</f>
        <v>7.0000000000000007E-2</v>
      </c>
      <c r="X80" s="96">
        <f t="shared" si="13"/>
        <v>0</v>
      </c>
      <c r="Y80" s="96">
        <f t="shared" si="14"/>
        <v>0</v>
      </c>
      <c r="Z80" s="96">
        <f>HLOOKUP($I$15,$C$34:$O$86,47,0)</f>
        <v>7.0000000000000007E-2</v>
      </c>
      <c r="AA80" s="96">
        <f t="shared" si="15"/>
        <v>0</v>
      </c>
    </row>
    <row r="81" spans="1:28" ht="13.8" x14ac:dyDescent="0.25">
      <c r="A81" s="345"/>
      <c r="B81" s="353">
        <v>47</v>
      </c>
      <c r="C81" s="354">
        <v>0.14000000000000001</v>
      </c>
      <c r="D81" s="354">
        <v>0.28000000000000003</v>
      </c>
      <c r="E81" s="354">
        <v>0.42</v>
      </c>
      <c r="F81" s="354">
        <v>0.7</v>
      </c>
      <c r="G81" s="354">
        <v>1.33</v>
      </c>
      <c r="H81" s="354">
        <v>2.38</v>
      </c>
      <c r="I81" s="354">
        <v>3.57</v>
      </c>
      <c r="J81" s="354">
        <v>4.97</v>
      </c>
      <c r="K81" s="354">
        <v>5.67</v>
      </c>
      <c r="L81" s="354">
        <v>6.37</v>
      </c>
      <c r="M81" s="354">
        <v>7.77</v>
      </c>
      <c r="N81" s="354">
        <v>9.24</v>
      </c>
      <c r="O81" s="354">
        <v>10.71</v>
      </c>
      <c r="P81">
        <f t="shared" si="8"/>
        <v>0</v>
      </c>
      <c r="Q81">
        <f>HLOOKUP($C$15,$C$34:$O$86,48,0)</f>
        <v>5.67</v>
      </c>
      <c r="R81">
        <f t="shared" si="9"/>
        <v>0</v>
      </c>
      <c r="S81">
        <f t="shared" si="10"/>
        <v>0</v>
      </c>
      <c r="T81">
        <f>HLOOKUP($E$15,$C$34:$O$86,48,0)</f>
        <v>0.14000000000000001</v>
      </c>
      <c r="U81">
        <f t="shared" si="11"/>
        <v>0</v>
      </c>
      <c r="V81" s="96">
        <f t="shared" si="12"/>
        <v>0</v>
      </c>
      <c r="W81" s="96">
        <f>HLOOKUP($G$15,$C$34:$O$86,48,0)</f>
        <v>0.14000000000000001</v>
      </c>
      <c r="X81" s="96">
        <f t="shared" si="13"/>
        <v>0</v>
      </c>
      <c r="Y81" s="96">
        <f t="shared" si="14"/>
        <v>0</v>
      </c>
      <c r="Z81" s="96">
        <f>HLOOKUP($I$15,$C$34:$O$86,48,0)</f>
        <v>0.14000000000000001</v>
      </c>
      <c r="AA81" s="96">
        <f t="shared" si="15"/>
        <v>0</v>
      </c>
    </row>
    <row r="82" spans="1:28" ht="13.8" x14ac:dyDescent="0.25">
      <c r="A82" s="345"/>
      <c r="B82" s="353">
        <v>48</v>
      </c>
      <c r="C82" s="354">
        <v>0.14000000000000001</v>
      </c>
      <c r="D82" s="354">
        <v>0.28000000000000003</v>
      </c>
      <c r="E82" s="354">
        <v>0.42</v>
      </c>
      <c r="F82" s="354">
        <v>0.63</v>
      </c>
      <c r="G82" s="354">
        <v>1.4</v>
      </c>
      <c r="H82" s="354">
        <v>2.52</v>
      </c>
      <c r="I82" s="354">
        <v>3.71</v>
      </c>
      <c r="J82" s="354">
        <v>5.04</v>
      </c>
      <c r="K82" s="354">
        <v>5.67</v>
      </c>
      <c r="L82" s="354">
        <v>6.37</v>
      </c>
      <c r="M82" s="354">
        <v>7.7</v>
      </c>
      <c r="N82" s="354">
        <v>9.0299999999999994</v>
      </c>
      <c r="O82" s="354">
        <v>10.43</v>
      </c>
      <c r="P82">
        <f t="shared" si="8"/>
        <v>0</v>
      </c>
      <c r="Q82">
        <f>HLOOKUP($C$15,$C$34:$O$86,49,0)</f>
        <v>5.67</v>
      </c>
      <c r="R82">
        <f t="shared" si="9"/>
        <v>0</v>
      </c>
      <c r="S82">
        <f t="shared" si="10"/>
        <v>0</v>
      </c>
      <c r="T82">
        <f>HLOOKUP($E$15,$C$34:$O$86,49,0)</f>
        <v>0.14000000000000001</v>
      </c>
      <c r="U82">
        <f t="shared" si="11"/>
        <v>0</v>
      </c>
      <c r="V82" s="96">
        <f t="shared" si="12"/>
        <v>0</v>
      </c>
      <c r="W82" s="96">
        <f>HLOOKUP($G$15,$C$34:$O$86,49,0)</f>
        <v>0.14000000000000001</v>
      </c>
      <c r="X82" s="96">
        <f t="shared" si="13"/>
        <v>0</v>
      </c>
      <c r="Y82" s="96">
        <f t="shared" si="14"/>
        <v>0</v>
      </c>
      <c r="Z82" s="96">
        <f>HLOOKUP($I$15,$C$34:$O$86,49,0)</f>
        <v>0.14000000000000001</v>
      </c>
      <c r="AA82" s="96">
        <f t="shared" si="15"/>
        <v>0</v>
      </c>
    </row>
    <row r="83" spans="1:28" ht="13.8" x14ac:dyDescent="0.25">
      <c r="A83" s="350" t="s">
        <v>553</v>
      </c>
      <c r="B83" s="351">
        <v>49</v>
      </c>
      <c r="C83" s="352">
        <v>0.35</v>
      </c>
      <c r="D83" s="352">
        <v>0.63</v>
      </c>
      <c r="E83" s="352">
        <v>0.84</v>
      </c>
      <c r="F83" s="352">
        <v>1.19</v>
      </c>
      <c r="G83" s="352">
        <v>2.0299999999999998</v>
      </c>
      <c r="H83" s="352">
        <v>3.15</v>
      </c>
      <c r="I83" s="352">
        <v>4.41</v>
      </c>
      <c r="J83" s="352">
        <v>5.67</v>
      </c>
      <c r="K83" s="352">
        <v>6.3</v>
      </c>
      <c r="L83" s="352">
        <v>7</v>
      </c>
      <c r="M83" s="352">
        <v>8.26</v>
      </c>
      <c r="N83" s="352">
        <v>9.59</v>
      </c>
      <c r="O83" s="352">
        <v>10.85</v>
      </c>
      <c r="P83">
        <f t="shared" si="8"/>
        <v>0</v>
      </c>
      <c r="Q83">
        <f>HLOOKUP($C$15,$C$34:$O$86,50,0)</f>
        <v>6.3</v>
      </c>
      <c r="R83">
        <f t="shared" si="9"/>
        <v>0</v>
      </c>
      <c r="S83">
        <f t="shared" si="10"/>
        <v>0</v>
      </c>
      <c r="T83">
        <f>HLOOKUP($E$15,$C$34:$O$86,50,0)</f>
        <v>0.35</v>
      </c>
      <c r="U83">
        <f t="shared" si="11"/>
        <v>0</v>
      </c>
      <c r="V83" s="96">
        <f t="shared" si="12"/>
        <v>0</v>
      </c>
      <c r="W83" s="96">
        <f>HLOOKUP($G$15,$C$34:$O$86,50,0)</f>
        <v>0.35</v>
      </c>
      <c r="X83" s="96">
        <f t="shared" si="13"/>
        <v>0</v>
      </c>
      <c r="Y83" s="96">
        <f t="shared" si="14"/>
        <v>0</v>
      </c>
      <c r="Z83" s="96">
        <f>HLOOKUP($I$15,$C$34:$O$86,50,0)</f>
        <v>0.35</v>
      </c>
      <c r="AA83" s="96">
        <f t="shared" si="15"/>
        <v>0</v>
      </c>
    </row>
    <row r="84" spans="1:28" ht="13.8" x14ac:dyDescent="0.25">
      <c r="A84" s="345"/>
      <c r="B84" s="353">
        <v>50</v>
      </c>
      <c r="C84" s="354">
        <v>0.7</v>
      </c>
      <c r="D84" s="354">
        <v>1.4</v>
      </c>
      <c r="E84" s="354">
        <v>1.82</v>
      </c>
      <c r="F84" s="354">
        <v>2.2400000000000002</v>
      </c>
      <c r="G84" s="354">
        <v>3.43</v>
      </c>
      <c r="H84" s="354">
        <v>4.6900000000000004</v>
      </c>
      <c r="I84" s="354">
        <v>5.95</v>
      </c>
      <c r="J84" s="354">
        <v>7.21</v>
      </c>
      <c r="K84" s="354">
        <v>7.91</v>
      </c>
      <c r="L84" s="354">
        <v>8.5399999999999991</v>
      </c>
      <c r="M84" s="354">
        <v>9.8000000000000007</v>
      </c>
      <c r="N84" s="354">
        <v>11.13</v>
      </c>
      <c r="O84" s="354">
        <v>12.39</v>
      </c>
      <c r="P84">
        <f t="shared" si="8"/>
        <v>0</v>
      </c>
      <c r="Q84">
        <f>HLOOKUP($C$15,$C$34:$O$86,51,0)</f>
        <v>7.91</v>
      </c>
      <c r="R84">
        <f t="shared" si="9"/>
        <v>0</v>
      </c>
      <c r="S84">
        <f t="shared" si="10"/>
        <v>0</v>
      </c>
      <c r="T84">
        <f>HLOOKUP($E$15,$C$34:$O$86,51,0)</f>
        <v>0.7</v>
      </c>
      <c r="U84">
        <f t="shared" si="11"/>
        <v>0</v>
      </c>
      <c r="V84" s="96">
        <f t="shared" si="12"/>
        <v>0</v>
      </c>
      <c r="W84" s="96">
        <f>HLOOKUP($G$15,$C$34:$O$86,51,0)</f>
        <v>0.7</v>
      </c>
      <c r="X84" s="96">
        <f t="shared" si="13"/>
        <v>0</v>
      </c>
      <c r="Y84" s="96">
        <f t="shared" si="14"/>
        <v>0</v>
      </c>
      <c r="Z84" s="96">
        <f>HLOOKUP($I$15,$C$34:$O$86,51,0)</f>
        <v>0.7</v>
      </c>
      <c r="AA84" s="96">
        <f t="shared" si="15"/>
        <v>0</v>
      </c>
    </row>
    <row r="85" spans="1:28" ht="13.8" x14ac:dyDescent="0.25">
      <c r="A85" s="345"/>
      <c r="B85" s="353">
        <v>51</v>
      </c>
      <c r="C85" s="354">
        <v>0.7</v>
      </c>
      <c r="D85" s="354">
        <v>1.33</v>
      </c>
      <c r="E85" s="354">
        <v>1.68</v>
      </c>
      <c r="F85" s="354">
        <v>2.1</v>
      </c>
      <c r="G85" s="354">
        <v>3.22</v>
      </c>
      <c r="H85" s="354">
        <v>4.4800000000000004</v>
      </c>
      <c r="I85" s="354">
        <v>5.81</v>
      </c>
      <c r="J85" s="354">
        <v>7.14</v>
      </c>
      <c r="K85" s="354">
        <v>7.77</v>
      </c>
      <c r="L85" s="354">
        <v>8.4</v>
      </c>
      <c r="M85" s="354">
        <v>9.73</v>
      </c>
      <c r="N85" s="354">
        <v>11.06</v>
      </c>
      <c r="O85" s="354">
        <v>12.32</v>
      </c>
      <c r="P85">
        <f t="shared" si="8"/>
        <v>0</v>
      </c>
      <c r="Q85">
        <f>HLOOKUP($C$15,$C$34:$O$86,52,0)</f>
        <v>7.77</v>
      </c>
      <c r="R85">
        <f t="shared" si="9"/>
        <v>0</v>
      </c>
      <c r="S85">
        <f t="shared" si="10"/>
        <v>0</v>
      </c>
      <c r="T85">
        <f>HLOOKUP($E$15,$C$34:$O$86,52,0)</f>
        <v>0.7</v>
      </c>
      <c r="U85">
        <f t="shared" si="11"/>
        <v>0</v>
      </c>
      <c r="V85" s="96">
        <f t="shared" si="12"/>
        <v>0</v>
      </c>
      <c r="W85" s="96">
        <f>HLOOKUP($G$15,$C$34:$O$86,52,0)</f>
        <v>0.7</v>
      </c>
      <c r="X85" s="96">
        <f t="shared" si="13"/>
        <v>0</v>
      </c>
      <c r="Y85" s="96">
        <f t="shared" si="14"/>
        <v>0</v>
      </c>
      <c r="Z85" s="96">
        <f>HLOOKUP($I$15,$C$34:$O$86,52,0)</f>
        <v>0.7</v>
      </c>
      <c r="AA85" s="96">
        <f t="shared" si="15"/>
        <v>0</v>
      </c>
    </row>
    <row r="86" spans="1:28" ht="14.4" thickBot="1" x14ac:dyDescent="0.3">
      <c r="A86" s="359"/>
      <c r="B86" s="360">
        <v>52</v>
      </c>
      <c r="C86" s="361">
        <v>0.63</v>
      </c>
      <c r="D86" s="361">
        <v>1.05</v>
      </c>
      <c r="E86" s="361">
        <v>1.33</v>
      </c>
      <c r="F86" s="361">
        <v>1.75</v>
      </c>
      <c r="G86" s="361">
        <v>2.87</v>
      </c>
      <c r="H86" s="361">
        <v>4.0599999999999996</v>
      </c>
      <c r="I86" s="361">
        <v>5.39</v>
      </c>
      <c r="J86" s="361">
        <v>6.79</v>
      </c>
      <c r="K86" s="361">
        <v>7.49</v>
      </c>
      <c r="L86" s="361">
        <v>8.19</v>
      </c>
      <c r="M86" s="361">
        <v>9.59</v>
      </c>
      <c r="N86" s="361">
        <v>10.99</v>
      </c>
      <c r="O86" s="361">
        <v>12.32</v>
      </c>
      <c r="P86">
        <f t="shared" si="8"/>
        <v>0</v>
      </c>
      <c r="Q86">
        <f>HLOOKUP($C$15,$C$34:$O$86,53,0)</f>
        <v>7.49</v>
      </c>
      <c r="R86">
        <f t="shared" si="9"/>
        <v>0</v>
      </c>
      <c r="S86">
        <f t="shared" si="10"/>
        <v>0</v>
      </c>
      <c r="T86">
        <f>HLOOKUP($E$15,$C$34:$O$86,53,0)</f>
        <v>0.63</v>
      </c>
      <c r="U86">
        <f t="shared" si="11"/>
        <v>0</v>
      </c>
      <c r="V86" s="96">
        <f t="shared" si="12"/>
        <v>0</v>
      </c>
      <c r="W86" s="96">
        <f>HLOOKUP($G$15,$C$34:$O$86,53,0)</f>
        <v>0.63</v>
      </c>
      <c r="X86" s="96">
        <f t="shared" si="13"/>
        <v>0</v>
      </c>
      <c r="Y86" s="96">
        <f t="shared" si="14"/>
        <v>0</v>
      </c>
      <c r="Z86" s="96">
        <f>HLOOKUP($I$15,$C$34:$O$86,53,0)</f>
        <v>0.63</v>
      </c>
      <c r="AA86" s="96">
        <f t="shared" si="15"/>
        <v>0</v>
      </c>
    </row>
    <row r="87" spans="1:28" ht="14.4" thickTop="1" x14ac:dyDescent="0.25">
      <c r="A87" t="s">
        <v>86</v>
      </c>
      <c r="C87">
        <f t="shared" ref="C87:O87" si="16">SUM(C35:C86)</f>
        <v>9.31</v>
      </c>
      <c r="D87">
        <f t="shared" si="16"/>
        <v>17.920000000000002</v>
      </c>
      <c r="E87">
        <f t="shared" si="16"/>
        <v>24.220000000000013</v>
      </c>
      <c r="F87">
        <f t="shared" si="16"/>
        <v>32.270000000000003</v>
      </c>
      <c r="G87">
        <f t="shared" si="16"/>
        <v>53.830000000000013</v>
      </c>
      <c r="H87">
        <f t="shared" si="16"/>
        <v>82.67000000000003</v>
      </c>
      <c r="I87">
        <f t="shared" si="16"/>
        <v>118.72999999999996</v>
      </c>
      <c r="J87">
        <f t="shared" si="16"/>
        <v>162.25999999999996</v>
      </c>
      <c r="K87">
        <f t="shared" si="16"/>
        <v>186.40999999999997</v>
      </c>
      <c r="L87">
        <f t="shared" si="16"/>
        <v>213.29</v>
      </c>
      <c r="M87">
        <f t="shared" si="16"/>
        <v>268.87</v>
      </c>
      <c r="N87">
        <f t="shared" si="16"/>
        <v>331.7999999999999</v>
      </c>
      <c r="O87">
        <f t="shared" si="16"/>
        <v>400.40000000000009</v>
      </c>
      <c r="R87">
        <f>SUM(R35:R86)</f>
        <v>7.21</v>
      </c>
      <c r="U87">
        <f>SUM(U35:U86)</f>
        <v>0</v>
      </c>
      <c r="X87" s="96">
        <f>SUM(X35:X86)</f>
        <v>0</v>
      </c>
      <c r="AA87" s="96">
        <f>SUM(AA35:AA86)</f>
        <v>0</v>
      </c>
      <c r="AB87">
        <f>SUM(R87:AA87)</f>
        <v>7.21</v>
      </c>
    </row>
    <row r="88" spans="1:28" ht="14.4" thickBot="1" x14ac:dyDescent="0.3"/>
    <row r="89" spans="1:28" ht="12.9" customHeight="1" thickTop="1" x14ac:dyDescent="0.25">
      <c r="A89" s="343"/>
      <c r="B89" s="344"/>
      <c r="C89" s="371" t="s">
        <v>554</v>
      </c>
      <c r="D89" s="371"/>
      <c r="E89" s="371"/>
      <c r="F89" s="371"/>
      <c r="G89" s="371"/>
      <c r="H89" s="371"/>
      <c r="I89" s="371"/>
      <c r="J89" s="344"/>
      <c r="K89" s="344"/>
      <c r="L89" s="344"/>
      <c r="M89" s="344"/>
      <c r="N89" s="344"/>
      <c r="O89" s="344"/>
    </row>
    <row r="90" spans="1:28" ht="13.8" x14ac:dyDescent="0.25">
      <c r="A90" s="345"/>
      <c r="B90" s="348" t="s">
        <v>541</v>
      </c>
      <c r="C90" s="354">
        <v>2</v>
      </c>
      <c r="D90" s="354">
        <v>4</v>
      </c>
      <c r="E90" s="354">
        <v>5</v>
      </c>
      <c r="F90" s="354">
        <v>6</v>
      </c>
      <c r="G90" s="354">
        <v>8</v>
      </c>
      <c r="H90" s="354">
        <v>10</v>
      </c>
      <c r="I90" s="354">
        <v>12</v>
      </c>
      <c r="J90" s="354">
        <v>14</v>
      </c>
      <c r="K90" s="354">
        <v>15</v>
      </c>
      <c r="L90" s="354">
        <v>16</v>
      </c>
      <c r="M90" s="354">
        <v>18</v>
      </c>
      <c r="N90" s="354">
        <v>20</v>
      </c>
      <c r="O90" s="354">
        <v>22</v>
      </c>
    </row>
    <row r="91" spans="1:28" ht="13.8" x14ac:dyDescent="0.25">
      <c r="A91" s="350" t="s">
        <v>542</v>
      </c>
      <c r="B91" s="353">
        <v>1</v>
      </c>
      <c r="C91" s="352">
        <v>1.4</v>
      </c>
      <c r="D91" s="352">
        <v>2.73</v>
      </c>
      <c r="E91" s="352">
        <v>3.71</v>
      </c>
      <c r="F91" s="352">
        <v>4.9000000000000004</v>
      </c>
      <c r="G91" s="352">
        <v>7.35</v>
      </c>
      <c r="H91" s="352">
        <v>9.73</v>
      </c>
      <c r="I91" s="352">
        <v>12.39</v>
      </c>
      <c r="J91" s="352">
        <v>15.61</v>
      </c>
      <c r="K91" s="352">
        <v>16.100000000000001</v>
      </c>
      <c r="L91" s="352">
        <v>17.36</v>
      </c>
      <c r="M91" s="352">
        <v>20.02</v>
      </c>
      <c r="N91" s="352">
        <v>22.54</v>
      </c>
      <c r="O91" s="352">
        <v>24.99</v>
      </c>
      <c r="P91">
        <f t="shared" ref="P91:P122" si="17">IF($C$11&lt;$C$12,IF(AND($C$11&lt;=B91,$C$12&gt;=B91),1,0),IF(OR(B91&lt;=$C$12,B91&gt;=$C$11),1,0))</f>
        <v>0</v>
      </c>
      <c r="Q91">
        <f>HLOOKUP($C$16,$C$90:$O$142,2,0)</f>
        <v>16.100000000000001</v>
      </c>
      <c r="R91">
        <f t="shared" ref="R91:R122" si="18">IF(P91=1,Q91,0)</f>
        <v>0</v>
      </c>
      <c r="S91">
        <f t="shared" ref="S91:S122" si="19">IF($E$11&lt;$E$12,IF(AND($E$11&lt;=B91,$E$12&gt;=B91),1,0),IF(OR(B91&lt;=$C$12,B91&gt;=$E$11),1,0))</f>
        <v>0</v>
      </c>
      <c r="T91">
        <f>HLOOKUP($E$16,$C$90:$O$142,2,0)</f>
        <v>1.4</v>
      </c>
      <c r="U91">
        <f t="shared" ref="U91:U122" si="20">IF(S91=1,T91,0)</f>
        <v>0</v>
      </c>
      <c r="V91" s="96">
        <f t="shared" ref="V91:V122" si="21">IF($G$11&lt;$G$12,IF(AND($G$11&lt;=B91,$G$12&gt;=B91),1,0),IF(OR(B91&lt;=$G$12,B91&gt;=$G$11),1,0))</f>
        <v>0</v>
      </c>
      <c r="W91" s="96">
        <f>HLOOKUP($G$16,$C$90:$O$142,2,0)</f>
        <v>1.4</v>
      </c>
      <c r="X91" s="96">
        <f t="shared" ref="X91:X122" si="22">IF(V91=1,W91,0)</f>
        <v>0</v>
      </c>
      <c r="Y91" s="96">
        <f t="shared" ref="Y91:Y122" si="23">IF($I$11&lt;$I$12,IF(AND($I$11&lt;=B91,$I$12&gt;=B91),1,0),IF(OR(B91&lt;=$C$12,B91&gt;=$I$11),1,0))</f>
        <v>0</v>
      </c>
      <c r="Z91" s="96">
        <f>HLOOKUP($I$16,$C$90:$O$142,2,0)</f>
        <v>1.4</v>
      </c>
      <c r="AA91" s="96">
        <f t="shared" ref="AA91:AA122" si="24">IF(Y91=1,Z91,0)</f>
        <v>0</v>
      </c>
    </row>
    <row r="92" spans="1:28" ht="13.8" x14ac:dyDescent="0.25">
      <c r="A92" s="345"/>
      <c r="B92" s="353">
        <v>2</v>
      </c>
      <c r="C92" s="354">
        <v>2.94</v>
      </c>
      <c r="D92" s="354">
        <v>4.76</v>
      </c>
      <c r="E92" s="354">
        <v>5.95</v>
      </c>
      <c r="F92" s="354">
        <v>7.14</v>
      </c>
      <c r="G92" s="354">
        <v>9.59</v>
      </c>
      <c r="H92" s="354">
        <v>12.25</v>
      </c>
      <c r="I92" s="354">
        <v>14.7</v>
      </c>
      <c r="J92" s="354">
        <v>17.22</v>
      </c>
      <c r="K92" s="354">
        <v>18.41</v>
      </c>
      <c r="L92" s="354">
        <v>19.670000000000002</v>
      </c>
      <c r="M92" s="354">
        <v>22.33</v>
      </c>
      <c r="N92" s="354">
        <v>24.85</v>
      </c>
      <c r="O92" s="354">
        <v>27.3</v>
      </c>
      <c r="P92">
        <f t="shared" si="17"/>
        <v>0</v>
      </c>
      <c r="Q92">
        <f>HLOOKUP($C$16,$C$90:$O$142,3,0)</f>
        <v>18.41</v>
      </c>
      <c r="R92">
        <f t="shared" si="18"/>
        <v>0</v>
      </c>
      <c r="S92">
        <f t="shared" si="19"/>
        <v>0</v>
      </c>
      <c r="T92">
        <f>HLOOKUP($E$16,$C$90:$O$142,3,0)</f>
        <v>2.94</v>
      </c>
      <c r="U92">
        <f t="shared" si="20"/>
        <v>0</v>
      </c>
      <c r="V92" s="96">
        <f t="shared" si="21"/>
        <v>0</v>
      </c>
      <c r="W92" s="96">
        <f>HLOOKUP($G$16,$C$90:$O$142,3,0)</f>
        <v>2.94</v>
      </c>
      <c r="X92" s="96">
        <f t="shared" si="22"/>
        <v>0</v>
      </c>
      <c r="Y92" s="96">
        <f t="shared" si="23"/>
        <v>0</v>
      </c>
      <c r="Z92" s="96">
        <f>HLOOKUP($I$16,$C$90:$O$142,3,0)</f>
        <v>2.94</v>
      </c>
      <c r="AA92" s="96">
        <f t="shared" si="24"/>
        <v>0</v>
      </c>
    </row>
    <row r="93" spans="1:28" ht="13.8" x14ac:dyDescent="0.25">
      <c r="A93" s="345"/>
      <c r="B93" s="353">
        <v>3</v>
      </c>
      <c r="C93" s="354">
        <v>2.1</v>
      </c>
      <c r="D93" s="354">
        <v>3.78</v>
      </c>
      <c r="E93" s="362">
        <v>4.83</v>
      </c>
      <c r="F93" s="354">
        <v>6.02</v>
      </c>
      <c r="G93" s="354">
        <v>8.61</v>
      </c>
      <c r="H93" s="354">
        <v>11.34</v>
      </c>
      <c r="I93" s="354">
        <v>13.79</v>
      </c>
      <c r="J93" s="354">
        <v>16.38</v>
      </c>
      <c r="K93" s="354">
        <v>17.57</v>
      </c>
      <c r="L93" s="354">
        <v>18.899999999999999</v>
      </c>
      <c r="M93" s="354">
        <v>21.49</v>
      </c>
      <c r="N93" s="354">
        <v>24.08</v>
      </c>
      <c r="O93" s="354">
        <v>26.53</v>
      </c>
      <c r="P93">
        <f t="shared" si="17"/>
        <v>0</v>
      </c>
      <c r="Q93">
        <f>HLOOKUP($C$16,$C$90:$O$142,4,0)</f>
        <v>17.57</v>
      </c>
      <c r="R93">
        <f t="shared" si="18"/>
        <v>0</v>
      </c>
      <c r="S93">
        <f t="shared" si="19"/>
        <v>0</v>
      </c>
      <c r="T93">
        <f>HLOOKUP($E$16,$C$90:$O$142,4,0)</f>
        <v>2.1</v>
      </c>
      <c r="U93">
        <f t="shared" si="20"/>
        <v>0</v>
      </c>
      <c r="V93" s="96">
        <f t="shared" si="21"/>
        <v>0</v>
      </c>
      <c r="W93" s="96">
        <f>HLOOKUP($G$16,$C$90:$O$142,4,0)</f>
        <v>2.1</v>
      </c>
      <c r="X93" s="96">
        <f t="shared" si="22"/>
        <v>0</v>
      </c>
      <c r="Y93" s="96">
        <f t="shared" si="23"/>
        <v>0</v>
      </c>
      <c r="Z93" s="96">
        <f>HLOOKUP($I$16,$C$90:$O$142,4,0)</f>
        <v>2.1</v>
      </c>
      <c r="AA93" s="96">
        <f t="shared" si="24"/>
        <v>0</v>
      </c>
    </row>
    <row r="94" spans="1:28" ht="13.8" x14ac:dyDescent="0.25">
      <c r="A94" s="345"/>
      <c r="B94" s="353">
        <v>4</v>
      </c>
      <c r="C94" s="354">
        <v>3.36</v>
      </c>
      <c r="D94" s="354">
        <v>5.67</v>
      </c>
      <c r="E94" s="354">
        <v>6.86</v>
      </c>
      <c r="F94" s="354">
        <v>8.0500000000000007</v>
      </c>
      <c r="G94" s="354">
        <v>10.57</v>
      </c>
      <c r="H94" s="354">
        <v>13.23</v>
      </c>
      <c r="I94" s="354">
        <v>15.75</v>
      </c>
      <c r="J94" s="354">
        <v>18.34</v>
      </c>
      <c r="K94" s="354">
        <v>19.739999999999998</v>
      </c>
      <c r="L94" s="354">
        <v>20.93</v>
      </c>
      <c r="M94" s="354">
        <v>23.52</v>
      </c>
      <c r="N94" s="354">
        <v>26.04</v>
      </c>
      <c r="O94" s="354">
        <v>28.42</v>
      </c>
      <c r="P94">
        <f t="shared" si="17"/>
        <v>0</v>
      </c>
      <c r="Q94">
        <f>HLOOKUP($C$16,$C$90:$O$142,5,0)</f>
        <v>19.739999999999998</v>
      </c>
      <c r="R94">
        <f t="shared" si="18"/>
        <v>0</v>
      </c>
      <c r="S94">
        <f t="shared" si="19"/>
        <v>0</v>
      </c>
      <c r="T94">
        <f>HLOOKUP($E$16,$C$90:$O$142,5,0)</f>
        <v>3.36</v>
      </c>
      <c r="U94">
        <f t="shared" si="20"/>
        <v>0</v>
      </c>
      <c r="V94" s="96">
        <f t="shared" si="21"/>
        <v>0</v>
      </c>
      <c r="W94" s="96">
        <f>HLOOKUP($G$16,$C$90:$O$142,5,0)</f>
        <v>3.36</v>
      </c>
      <c r="X94" s="96">
        <f t="shared" si="22"/>
        <v>0</v>
      </c>
      <c r="Y94" s="96">
        <f t="shared" si="23"/>
        <v>0</v>
      </c>
      <c r="Z94" s="96">
        <f>HLOOKUP($I$16,$C$90:$O$142,5,0)</f>
        <v>3.36</v>
      </c>
      <c r="AA94" s="96">
        <f t="shared" si="24"/>
        <v>0</v>
      </c>
    </row>
    <row r="95" spans="1:28" ht="13.8" x14ac:dyDescent="0.25">
      <c r="A95" s="355"/>
      <c r="B95" s="353">
        <v>5</v>
      </c>
      <c r="C95" s="357">
        <v>3.78</v>
      </c>
      <c r="D95" s="357">
        <v>6.02</v>
      </c>
      <c r="E95" s="357">
        <v>7.07</v>
      </c>
      <c r="F95" s="357">
        <v>8.19</v>
      </c>
      <c r="G95" s="357">
        <v>10.64</v>
      </c>
      <c r="H95" s="357">
        <v>13.09</v>
      </c>
      <c r="I95" s="357">
        <v>15.96</v>
      </c>
      <c r="J95" s="357">
        <v>18.48</v>
      </c>
      <c r="K95" s="357">
        <v>19.809999999999999</v>
      </c>
      <c r="L95" s="357">
        <v>20.93</v>
      </c>
      <c r="M95" s="357">
        <v>23.52</v>
      </c>
      <c r="N95" s="357">
        <v>25.97</v>
      </c>
      <c r="O95" s="357">
        <v>28.42</v>
      </c>
      <c r="P95">
        <f t="shared" si="17"/>
        <v>0</v>
      </c>
      <c r="Q95">
        <f>HLOOKUP($C$16,$C$90:$O$142,6,0)</f>
        <v>19.809999999999999</v>
      </c>
      <c r="R95">
        <f t="shared" si="18"/>
        <v>0</v>
      </c>
      <c r="S95">
        <f t="shared" si="19"/>
        <v>0</v>
      </c>
      <c r="T95">
        <f>HLOOKUP($E$16,$C$90:$O$142,6,0)</f>
        <v>3.78</v>
      </c>
      <c r="U95">
        <f t="shared" si="20"/>
        <v>0</v>
      </c>
      <c r="V95" s="96">
        <f t="shared" si="21"/>
        <v>0</v>
      </c>
      <c r="W95" s="96">
        <f>HLOOKUP($G$16,$C$90:$O$142,6,0)</f>
        <v>3.78</v>
      </c>
      <c r="X95" s="96">
        <f t="shared" si="22"/>
        <v>0</v>
      </c>
      <c r="Y95" s="96">
        <f t="shared" si="23"/>
        <v>0</v>
      </c>
      <c r="Z95" s="96">
        <f>HLOOKUP($I$16,$C$90:$O$142,6,0)</f>
        <v>3.78</v>
      </c>
      <c r="AA95" s="96">
        <f t="shared" si="24"/>
        <v>0</v>
      </c>
    </row>
    <row r="96" spans="1:28" ht="13.8" x14ac:dyDescent="0.25">
      <c r="A96" s="358" t="s">
        <v>543</v>
      </c>
      <c r="B96" s="353">
        <v>6</v>
      </c>
      <c r="C96" s="354">
        <v>1.26</v>
      </c>
      <c r="D96" s="354">
        <v>2.2400000000000002</v>
      </c>
      <c r="E96" s="354">
        <v>2.94</v>
      </c>
      <c r="F96" s="354">
        <v>3.78</v>
      </c>
      <c r="G96" s="354">
        <v>5.95</v>
      </c>
      <c r="H96" s="354">
        <v>8.1199999999999992</v>
      </c>
      <c r="I96" s="354">
        <v>10.5</v>
      </c>
      <c r="J96" s="354">
        <v>12.95</v>
      </c>
      <c r="K96" s="354">
        <v>14.14</v>
      </c>
      <c r="L96" s="354">
        <v>15.26</v>
      </c>
      <c r="M96" s="354">
        <v>17.64</v>
      </c>
      <c r="N96" s="354">
        <v>20.02</v>
      </c>
      <c r="O96" s="354">
        <v>22.47</v>
      </c>
      <c r="P96">
        <f t="shared" si="17"/>
        <v>0</v>
      </c>
      <c r="Q96">
        <f>HLOOKUP($C$16,$C$90:$O$142,7,0)</f>
        <v>14.14</v>
      </c>
      <c r="R96">
        <f t="shared" si="18"/>
        <v>0</v>
      </c>
      <c r="S96">
        <f t="shared" si="19"/>
        <v>0</v>
      </c>
      <c r="T96">
        <f>HLOOKUP($E$16,$C$90:$O$142,7,0)</f>
        <v>1.26</v>
      </c>
      <c r="U96">
        <f t="shared" si="20"/>
        <v>0</v>
      </c>
      <c r="V96" s="96">
        <f t="shared" si="21"/>
        <v>0</v>
      </c>
      <c r="W96" s="96">
        <f>HLOOKUP($G$16,$C$90:$O$142,7,0)</f>
        <v>1.26</v>
      </c>
      <c r="X96" s="96">
        <f t="shared" si="22"/>
        <v>0</v>
      </c>
      <c r="Y96" s="96">
        <f t="shared" si="23"/>
        <v>0</v>
      </c>
      <c r="Z96" s="96">
        <f>HLOOKUP($I$16,$C$90:$O$142,7,0)</f>
        <v>1.26</v>
      </c>
      <c r="AA96" s="96">
        <f t="shared" si="24"/>
        <v>0</v>
      </c>
    </row>
    <row r="97" spans="1:27" ht="13.8" x14ac:dyDescent="0.25">
      <c r="A97" s="345"/>
      <c r="B97" s="353">
        <v>7</v>
      </c>
      <c r="C97" s="354">
        <v>0.56000000000000005</v>
      </c>
      <c r="D97" s="354">
        <v>1.54</v>
      </c>
      <c r="E97" s="354">
        <v>2.17</v>
      </c>
      <c r="F97" s="354">
        <v>3.01</v>
      </c>
      <c r="G97" s="354">
        <v>5.25</v>
      </c>
      <c r="H97" s="354">
        <v>7.49</v>
      </c>
      <c r="I97" s="354">
        <v>9.8699999999999992</v>
      </c>
      <c r="J97" s="354">
        <v>12.25</v>
      </c>
      <c r="K97" s="354">
        <v>13.51</v>
      </c>
      <c r="L97" s="354">
        <v>14.7</v>
      </c>
      <c r="M97" s="354">
        <v>16.8</v>
      </c>
      <c r="N97" s="354">
        <v>19.18</v>
      </c>
      <c r="O97" s="354">
        <v>21.56</v>
      </c>
      <c r="P97">
        <f t="shared" si="17"/>
        <v>0</v>
      </c>
      <c r="Q97">
        <f>HLOOKUP($C$16,$C$90:$O$142,8,0)</f>
        <v>13.51</v>
      </c>
      <c r="R97">
        <f t="shared" si="18"/>
        <v>0</v>
      </c>
      <c r="S97">
        <f t="shared" si="19"/>
        <v>0</v>
      </c>
      <c r="T97">
        <f>HLOOKUP($E$16,$C$90:$O$142,8,0)</f>
        <v>0.56000000000000005</v>
      </c>
      <c r="U97">
        <f t="shared" si="20"/>
        <v>0</v>
      </c>
      <c r="V97" s="96">
        <f t="shared" si="21"/>
        <v>0</v>
      </c>
      <c r="W97" s="96">
        <f>HLOOKUP($G$16,$C$90:$O$142,8,0)</f>
        <v>0.56000000000000005</v>
      </c>
      <c r="X97" s="96">
        <f t="shared" si="22"/>
        <v>0</v>
      </c>
      <c r="Y97" s="96">
        <f t="shared" si="23"/>
        <v>0</v>
      </c>
      <c r="Z97" s="96">
        <f>HLOOKUP($I$16,$C$90:$O$142,8,0)</f>
        <v>0.56000000000000005</v>
      </c>
      <c r="AA97" s="96">
        <f t="shared" si="24"/>
        <v>0</v>
      </c>
    </row>
    <row r="98" spans="1:27" ht="13.8" x14ac:dyDescent="0.25">
      <c r="A98" s="345"/>
      <c r="B98" s="353">
        <v>8</v>
      </c>
      <c r="C98" s="354">
        <v>0.77</v>
      </c>
      <c r="D98" s="354">
        <v>1.96</v>
      </c>
      <c r="E98" s="354">
        <v>2.8</v>
      </c>
      <c r="F98" s="354">
        <v>3.71</v>
      </c>
      <c r="G98" s="354">
        <v>5.95</v>
      </c>
      <c r="H98" s="354">
        <v>8.33</v>
      </c>
      <c r="I98" s="354">
        <v>10.71</v>
      </c>
      <c r="J98" s="354">
        <v>13.02</v>
      </c>
      <c r="K98" s="354">
        <v>14.28</v>
      </c>
      <c r="L98" s="354">
        <v>15.61</v>
      </c>
      <c r="M98" s="354">
        <v>17.850000000000001</v>
      </c>
      <c r="N98" s="354">
        <v>20.16</v>
      </c>
      <c r="O98" s="354">
        <v>22.61</v>
      </c>
      <c r="P98">
        <f t="shared" si="17"/>
        <v>0</v>
      </c>
      <c r="Q98">
        <f>HLOOKUP($C$16,$C$90:$O$142,9,0)</f>
        <v>14.28</v>
      </c>
      <c r="R98">
        <f t="shared" si="18"/>
        <v>0</v>
      </c>
      <c r="S98">
        <f t="shared" si="19"/>
        <v>0</v>
      </c>
      <c r="T98">
        <f>HLOOKUP($E$16,$C$90:$O$142,9,0)</f>
        <v>0.77</v>
      </c>
      <c r="U98">
        <f t="shared" si="20"/>
        <v>0</v>
      </c>
      <c r="V98" s="96">
        <f t="shared" si="21"/>
        <v>0</v>
      </c>
      <c r="W98" s="96">
        <f>HLOOKUP($G$16,$C$90:$O$142,9,0)</f>
        <v>0.77</v>
      </c>
      <c r="X98" s="96">
        <f t="shared" si="22"/>
        <v>0</v>
      </c>
      <c r="Y98" s="96">
        <f t="shared" si="23"/>
        <v>0</v>
      </c>
      <c r="Z98" s="96">
        <f>HLOOKUP($I$16,$C$90:$O$142,9,0)</f>
        <v>0.77</v>
      </c>
      <c r="AA98" s="96">
        <f t="shared" si="24"/>
        <v>0</v>
      </c>
    </row>
    <row r="99" spans="1:27" ht="13.8" x14ac:dyDescent="0.25">
      <c r="A99" s="345"/>
      <c r="B99" s="353">
        <v>9</v>
      </c>
      <c r="C99" s="354">
        <v>0.35</v>
      </c>
      <c r="D99" s="354">
        <v>1.1200000000000001</v>
      </c>
      <c r="E99" s="354">
        <v>1.68</v>
      </c>
      <c r="F99" s="354">
        <v>2.66</v>
      </c>
      <c r="G99" s="354">
        <v>4.76</v>
      </c>
      <c r="H99" s="354">
        <v>7.14</v>
      </c>
      <c r="I99" s="354">
        <v>9.52</v>
      </c>
      <c r="J99" s="354">
        <v>11.83</v>
      </c>
      <c r="K99" s="354">
        <v>13.23</v>
      </c>
      <c r="L99" s="354">
        <v>14.49</v>
      </c>
      <c r="M99" s="354">
        <v>16.73</v>
      </c>
      <c r="N99" s="354">
        <v>19.25</v>
      </c>
      <c r="O99" s="354">
        <v>21.63</v>
      </c>
      <c r="P99">
        <f t="shared" si="17"/>
        <v>0</v>
      </c>
      <c r="Q99">
        <f>HLOOKUP($C$16,$C$90:$O$142,10,0)</f>
        <v>13.23</v>
      </c>
      <c r="R99">
        <f t="shared" si="18"/>
        <v>0</v>
      </c>
      <c r="S99">
        <f t="shared" si="19"/>
        <v>0</v>
      </c>
      <c r="T99">
        <f>HLOOKUP($E$16,$C$90:$O$142,10,0)</f>
        <v>0.35</v>
      </c>
      <c r="U99">
        <f t="shared" si="20"/>
        <v>0</v>
      </c>
      <c r="V99" s="96">
        <f t="shared" si="21"/>
        <v>0</v>
      </c>
      <c r="W99" s="96">
        <f>HLOOKUP($G$16,$C$90:$O$142,10,0)</f>
        <v>0.35</v>
      </c>
      <c r="X99" s="96">
        <f t="shared" si="22"/>
        <v>0</v>
      </c>
      <c r="Y99" s="96">
        <f t="shared" si="23"/>
        <v>0</v>
      </c>
      <c r="Z99" s="96">
        <f>HLOOKUP($I$16,$C$90:$O$142,10,0)</f>
        <v>0.35</v>
      </c>
      <c r="AA99" s="96">
        <f t="shared" si="24"/>
        <v>0</v>
      </c>
    </row>
    <row r="100" spans="1:27" ht="13.8" x14ac:dyDescent="0.25">
      <c r="A100" s="350" t="s">
        <v>544</v>
      </c>
      <c r="B100" s="353">
        <v>10</v>
      </c>
      <c r="C100" s="352">
        <v>0.14000000000000001</v>
      </c>
      <c r="D100" s="352">
        <v>0.56000000000000005</v>
      </c>
      <c r="E100" s="352">
        <v>0.91</v>
      </c>
      <c r="F100" s="352">
        <v>1.33</v>
      </c>
      <c r="G100" s="352">
        <v>2.66</v>
      </c>
      <c r="H100" s="352">
        <v>4.62</v>
      </c>
      <c r="I100" s="352">
        <v>6.72</v>
      </c>
      <c r="J100" s="352">
        <v>8.89</v>
      </c>
      <c r="K100" s="352">
        <v>10.08</v>
      </c>
      <c r="L100" s="352">
        <v>11.27</v>
      </c>
      <c r="M100" s="352">
        <v>13.51</v>
      </c>
      <c r="N100" s="352">
        <v>15.89</v>
      </c>
      <c r="O100" s="352">
        <v>18.2</v>
      </c>
      <c r="P100">
        <f t="shared" si="17"/>
        <v>0</v>
      </c>
      <c r="Q100">
        <f>HLOOKUP($C$16,$C$90:$O$142,11,0)</f>
        <v>10.08</v>
      </c>
      <c r="R100">
        <f t="shared" si="18"/>
        <v>0</v>
      </c>
      <c r="S100">
        <f t="shared" si="19"/>
        <v>0</v>
      </c>
      <c r="T100">
        <f>HLOOKUP($E$16,$C$90:$O$142,11,0)</f>
        <v>0.14000000000000001</v>
      </c>
      <c r="U100">
        <f t="shared" si="20"/>
        <v>0</v>
      </c>
      <c r="V100" s="96">
        <f t="shared" si="21"/>
        <v>0</v>
      </c>
      <c r="W100" s="96">
        <f>HLOOKUP($G$16,$C$90:$O$142,11,0)</f>
        <v>0.14000000000000001</v>
      </c>
      <c r="X100" s="96">
        <f t="shared" si="22"/>
        <v>0</v>
      </c>
      <c r="Y100" s="96">
        <f t="shared" si="23"/>
        <v>0</v>
      </c>
      <c r="Z100" s="96">
        <f>HLOOKUP($I$16,$C$90:$O$142,11,0)</f>
        <v>0.14000000000000001</v>
      </c>
      <c r="AA100" s="96">
        <f t="shared" si="24"/>
        <v>0</v>
      </c>
    </row>
    <row r="101" spans="1:27" ht="13.8" x14ac:dyDescent="0.25">
      <c r="A101" s="345"/>
      <c r="B101" s="353">
        <v>11</v>
      </c>
      <c r="C101" s="354">
        <v>0.21</v>
      </c>
      <c r="D101" s="354">
        <v>0.63</v>
      </c>
      <c r="E101" s="354">
        <v>1.05</v>
      </c>
      <c r="F101" s="354">
        <v>1.47</v>
      </c>
      <c r="G101" s="354">
        <v>2.87</v>
      </c>
      <c r="H101" s="354">
        <v>4.4800000000000004</v>
      </c>
      <c r="I101" s="354">
        <v>6.44</v>
      </c>
      <c r="J101" s="354">
        <v>8.4700000000000006</v>
      </c>
      <c r="K101" s="354">
        <v>9.52</v>
      </c>
      <c r="L101" s="354">
        <v>10.57</v>
      </c>
      <c r="M101" s="354">
        <v>12.74</v>
      </c>
      <c r="N101" s="354">
        <v>14.63</v>
      </c>
      <c r="O101" s="354">
        <v>16.8</v>
      </c>
      <c r="P101">
        <f t="shared" si="17"/>
        <v>0</v>
      </c>
      <c r="Q101">
        <f>HLOOKUP($C$16,$C$90:$O$142,12,0)</f>
        <v>9.52</v>
      </c>
      <c r="R101">
        <f t="shared" si="18"/>
        <v>0</v>
      </c>
      <c r="S101">
        <f t="shared" si="19"/>
        <v>0</v>
      </c>
      <c r="T101">
        <f>HLOOKUP($E$16,$C$90:$O$142,12,0)</f>
        <v>0.21</v>
      </c>
      <c r="U101">
        <f t="shared" si="20"/>
        <v>0</v>
      </c>
      <c r="V101" s="96">
        <f t="shared" si="21"/>
        <v>0</v>
      </c>
      <c r="W101" s="96">
        <f>HLOOKUP($G$16,$C$90:$O$142,12,0)</f>
        <v>0.21</v>
      </c>
      <c r="X101" s="96">
        <f t="shared" si="22"/>
        <v>0</v>
      </c>
      <c r="Y101" s="96">
        <f t="shared" si="23"/>
        <v>0</v>
      </c>
      <c r="Z101" s="96">
        <f>HLOOKUP($I$16,$C$90:$O$142,12,0)</f>
        <v>0.21</v>
      </c>
      <c r="AA101" s="96">
        <f t="shared" si="24"/>
        <v>0</v>
      </c>
    </row>
    <row r="102" spans="1:27" ht="13.8" x14ac:dyDescent="0.25">
      <c r="A102" s="345"/>
      <c r="B102" s="353">
        <v>12</v>
      </c>
      <c r="C102" s="354">
        <v>0.14000000000000001</v>
      </c>
      <c r="D102" s="354">
        <v>0.63</v>
      </c>
      <c r="E102" s="354">
        <v>0.98</v>
      </c>
      <c r="F102" s="354">
        <v>1.47</v>
      </c>
      <c r="G102" s="354">
        <v>2.94</v>
      </c>
      <c r="H102" s="354">
        <v>4.62</v>
      </c>
      <c r="I102" s="354">
        <v>6.72</v>
      </c>
      <c r="J102" s="354">
        <v>8.68</v>
      </c>
      <c r="K102" s="354">
        <v>9.73</v>
      </c>
      <c r="L102" s="354">
        <v>10.64</v>
      </c>
      <c r="M102" s="354">
        <v>12.53</v>
      </c>
      <c r="N102" s="354">
        <v>14.56</v>
      </c>
      <c r="O102" s="354">
        <v>16.45</v>
      </c>
      <c r="P102">
        <f t="shared" si="17"/>
        <v>0</v>
      </c>
      <c r="Q102">
        <f>HLOOKUP($C$16,$C$90:$O$142,13,0)</f>
        <v>9.73</v>
      </c>
      <c r="R102">
        <f t="shared" si="18"/>
        <v>0</v>
      </c>
      <c r="S102">
        <f t="shared" si="19"/>
        <v>0</v>
      </c>
      <c r="T102">
        <f>HLOOKUP($E$16,$C$90:$O$142,13,0)</f>
        <v>0.14000000000000001</v>
      </c>
      <c r="U102">
        <f t="shared" si="20"/>
        <v>0</v>
      </c>
      <c r="V102" s="96">
        <f t="shared" si="21"/>
        <v>0</v>
      </c>
      <c r="W102" s="96">
        <f>HLOOKUP($G$16,$C$90:$O$142,13,0)</f>
        <v>0.14000000000000001</v>
      </c>
      <c r="X102" s="96">
        <f t="shared" si="22"/>
        <v>0</v>
      </c>
      <c r="Y102" s="96">
        <f t="shared" si="23"/>
        <v>0</v>
      </c>
      <c r="Z102" s="96">
        <f>HLOOKUP($I$16,$C$90:$O$142,13,0)</f>
        <v>0.14000000000000001</v>
      </c>
      <c r="AA102" s="96">
        <f t="shared" si="24"/>
        <v>0</v>
      </c>
    </row>
    <row r="103" spans="1:27" ht="13.8" x14ac:dyDescent="0.25">
      <c r="A103" s="345"/>
      <c r="B103" s="353">
        <v>13</v>
      </c>
      <c r="C103" s="354"/>
      <c r="D103" s="354">
        <v>0.21</v>
      </c>
      <c r="E103" s="354">
        <v>0.35</v>
      </c>
      <c r="F103" s="354">
        <v>0.63</v>
      </c>
      <c r="G103" s="354">
        <v>1.89</v>
      </c>
      <c r="H103" s="354">
        <v>3.5</v>
      </c>
      <c r="I103" s="354">
        <v>5.46</v>
      </c>
      <c r="J103" s="354">
        <v>7.28</v>
      </c>
      <c r="K103" s="354">
        <v>8.34</v>
      </c>
      <c r="L103" s="354">
        <v>9.31</v>
      </c>
      <c r="M103" s="354">
        <v>11.13</v>
      </c>
      <c r="N103" s="354">
        <v>13.23</v>
      </c>
      <c r="O103" s="354">
        <v>15.05</v>
      </c>
      <c r="P103">
        <f t="shared" si="17"/>
        <v>0</v>
      </c>
      <c r="Q103">
        <f>HLOOKUP($C$16,$C$90:$O$142,14,0)</f>
        <v>8.34</v>
      </c>
      <c r="R103">
        <f t="shared" si="18"/>
        <v>0</v>
      </c>
      <c r="S103">
        <f t="shared" si="19"/>
        <v>0</v>
      </c>
      <c r="T103">
        <f>HLOOKUP($E$16,$C$90:$O$142,14,0)</f>
        <v>0</v>
      </c>
      <c r="U103">
        <f t="shared" si="20"/>
        <v>0</v>
      </c>
      <c r="V103" s="96">
        <f t="shared" si="21"/>
        <v>0</v>
      </c>
      <c r="W103" s="96">
        <f>HLOOKUP($G$16,$C$90:$O$142,14,0)</f>
        <v>0</v>
      </c>
      <c r="X103" s="96">
        <f t="shared" si="22"/>
        <v>0</v>
      </c>
      <c r="Y103" s="96">
        <f t="shared" si="23"/>
        <v>0</v>
      </c>
      <c r="Z103" s="96">
        <f>HLOOKUP($I$16,$C$90:$O$142,14,0)</f>
        <v>0</v>
      </c>
      <c r="AA103" s="96">
        <f t="shared" si="24"/>
        <v>0</v>
      </c>
    </row>
    <row r="104" spans="1:27" ht="13.8" x14ac:dyDescent="0.25">
      <c r="A104" s="350" t="s">
        <v>545</v>
      </c>
      <c r="B104" s="353">
        <v>14</v>
      </c>
      <c r="C104" s="352"/>
      <c r="D104" s="352">
        <v>7.0000000000000007E-2</v>
      </c>
      <c r="E104" s="352">
        <v>0.21</v>
      </c>
      <c r="F104" s="352">
        <v>0.49</v>
      </c>
      <c r="G104" s="352">
        <v>1.33</v>
      </c>
      <c r="H104" s="352">
        <v>2.4500000000000002</v>
      </c>
      <c r="I104" s="352">
        <v>3.92</v>
      </c>
      <c r="J104" s="352">
        <v>5.6</v>
      </c>
      <c r="K104" s="352">
        <v>6.72</v>
      </c>
      <c r="L104" s="352">
        <v>7.63</v>
      </c>
      <c r="M104" s="352">
        <v>9.4499999999999993</v>
      </c>
      <c r="N104" s="352">
        <v>11.34</v>
      </c>
      <c r="O104" s="352">
        <v>13.16</v>
      </c>
      <c r="P104">
        <f t="shared" si="17"/>
        <v>0</v>
      </c>
      <c r="Q104">
        <f>HLOOKUP($C$16,$C$90:$O$142,15,0)</f>
        <v>6.72</v>
      </c>
      <c r="R104">
        <f t="shared" si="18"/>
        <v>0</v>
      </c>
      <c r="S104">
        <f t="shared" si="19"/>
        <v>0</v>
      </c>
      <c r="T104">
        <f>HLOOKUP($E$16,$C$90:$O$142,15,0)</f>
        <v>0</v>
      </c>
      <c r="U104">
        <f t="shared" si="20"/>
        <v>0</v>
      </c>
      <c r="V104" s="96">
        <f t="shared" si="21"/>
        <v>0</v>
      </c>
      <c r="W104" s="96">
        <f>HLOOKUP($G$16,$C$90:$O$142,15,0)</f>
        <v>0</v>
      </c>
      <c r="X104" s="96">
        <f t="shared" si="22"/>
        <v>0</v>
      </c>
      <c r="Y104" s="96">
        <f t="shared" si="23"/>
        <v>0</v>
      </c>
      <c r="Z104" s="96">
        <f>HLOOKUP($I$16,$C$90:$O$142,15,0)</f>
        <v>0</v>
      </c>
      <c r="AA104" s="96">
        <f t="shared" si="24"/>
        <v>0</v>
      </c>
    </row>
    <row r="105" spans="1:27" ht="13.8" x14ac:dyDescent="0.25">
      <c r="A105" s="345"/>
      <c r="B105" s="353">
        <v>15</v>
      </c>
      <c r="C105" s="354"/>
      <c r="D105" s="354">
        <v>0.14000000000000001</v>
      </c>
      <c r="E105" s="354">
        <v>0.35</v>
      </c>
      <c r="F105" s="354">
        <v>0.49</v>
      </c>
      <c r="G105" s="354">
        <v>1.1200000000000001</v>
      </c>
      <c r="H105" s="354">
        <v>1.96</v>
      </c>
      <c r="I105" s="354">
        <v>3.43</v>
      </c>
      <c r="J105" s="354">
        <v>4.9000000000000004</v>
      </c>
      <c r="K105" s="354">
        <v>6.02</v>
      </c>
      <c r="L105" s="354">
        <v>6.86</v>
      </c>
      <c r="M105" s="354">
        <v>8.68</v>
      </c>
      <c r="N105" s="354">
        <v>10.36</v>
      </c>
      <c r="O105" s="354">
        <v>12.32</v>
      </c>
      <c r="P105">
        <f t="shared" si="17"/>
        <v>0</v>
      </c>
      <c r="Q105">
        <f>HLOOKUP($C$16,$C$90:$O$142,16,0)</f>
        <v>6.02</v>
      </c>
      <c r="R105">
        <f t="shared" si="18"/>
        <v>0</v>
      </c>
      <c r="S105">
        <f t="shared" si="19"/>
        <v>0</v>
      </c>
      <c r="T105">
        <f>HLOOKUP($E$16,$C$90:$O$142,16,0)</f>
        <v>0</v>
      </c>
      <c r="U105">
        <f t="shared" si="20"/>
        <v>0</v>
      </c>
      <c r="V105" s="96">
        <f t="shared" si="21"/>
        <v>0</v>
      </c>
      <c r="W105" s="96">
        <f>HLOOKUP($G$16,$C$90:$O$142,16,0)</f>
        <v>0</v>
      </c>
      <c r="X105" s="96">
        <f t="shared" si="22"/>
        <v>0</v>
      </c>
      <c r="Y105" s="96">
        <f t="shared" si="23"/>
        <v>0</v>
      </c>
      <c r="Z105" s="96">
        <f>HLOOKUP($I$16,$C$90:$O$142,16,0)</f>
        <v>0</v>
      </c>
      <c r="AA105" s="96">
        <f t="shared" si="24"/>
        <v>0</v>
      </c>
    </row>
    <row r="106" spans="1:27" ht="13.8" x14ac:dyDescent="0.25">
      <c r="A106" s="345"/>
      <c r="B106" s="353">
        <v>16</v>
      </c>
      <c r="C106" s="354"/>
      <c r="D106" s="354"/>
      <c r="E106" s="354">
        <v>7.0000000000000007E-2</v>
      </c>
      <c r="F106" s="354">
        <v>0.14000000000000001</v>
      </c>
      <c r="G106" s="354">
        <v>0.49</v>
      </c>
      <c r="H106" s="354">
        <v>1.19</v>
      </c>
      <c r="I106" s="354">
        <v>2.52</v>
      </c>
      <c r="J106" s="354">
        <v>3.99</v>
      </c>
      <c r="K106" s="354">
        <v>4.83</v>
      </c>
      <c r="L106" s="354">
        <v>5.67</v>
      </c>
      <c r="M106" s="354">
        <v>7.56</v>
      </c>
      <c r="N106" s="354">
        <v>9.31</v>
      </c>
      <c r="O106" s="354">
        <v>11.13</v>
      </c>
      <c r="P106">
        <f t="shared" si="17"/>
        <v>0</v>
      </c>
      <c r="Q106">
        <f>HLOOKUP($C$16,$C$90:$O$142,17,0)</f>
        <v>4.83</v>
      </c>
      <c r="R106">
        <f t="shared" si="18"/>
        <v>0</v>
      </c>
      <c r="S106">
        <f t="shared" si="19"/>
        <v>0</v>
      </c>
      <c r="T106">
        <f>HLOOKUP($E$16,$C$90:$O$142,17,0)</f>
        <v>0</v>
      </c>
      <c r="U106">
        <f t="shared" si="20"/>
        <v>0</v>
      </c>
      <c r="V106" s="96">
        <f t="shared" si="21"/>
        <v>0</v>
      </c>
      <c r="W106" s="96">
        <f>HLOOKUP($G$16,$C$90:$O$142,17,0)</f>
        <v>0</v>
      </c>
      <c r="X106" s="96">
        <f t="shared" si="22"/>
        <v>0</v>
      </c>
      <c r="Y106" s="96">
        <f t="shared" si="23"/>
        <v>0</v>
      </c>
      <c r="Z106" s="96">
        <f>HLOOKUP($I$16,$C$90:$O$142,17,0)</f>
        <v>0</v>
      </c>
      <c r="AA106" s="96">
        <f t="shared" si="24"/>
        <v>0</v>
      </c>
    </row>
    <row r="107" spans="1:27" ht="13.8" x14ac:dyDescent="0.25">
      <c r="A107" s="345"/>
      <c r="B107" s="353">
        <v>17</v>
      </c>
      <c r="C107" s="354"/>
      <c r="D107" s="354"/>
      <c r="E107" s="354">
        <v>7.0000000000000007E-2</v>
      </c>
      <c r="F107" s="354">
        <v>0.14000000000000001</v>
      </c>
      <c r="G107" s="354">
        <v>0.63</v>
      </c>
      <c r="H107" s="354">
        <v>1.54</v>
      </c>
      <c r="I107" s="354">
        <v>2.87</v>
      </c>
      <c r="J107" s="354">
        <v>4.41</v>
      </c>
      <c r="K107" s="354">
        <v>5.32</v>
      </c>
      <c r="L107" s="354">
        <v>6.16</v>
      </c>
      <c r="M107" s="354">
        <v>7.91</v>
      </c>
      <c r="N107" s="354">
        <v>9.52</v>
      </c>
      <c r="O107" s="354">
        <v>11.27</v>
      </c>
      <c r="P107">
        <f t="shared" si="17"/>
        <v>0</v>
      </c>
      <c r="Q107">
        <f>HLOOKUP($C$16,$C$90:$O$142,18,0)</f>
        <v>5.32</v>
      </c>
      <c r="R107">
        <f t="shared" si="18"/>
        <v>0</v>
      </c>
      <c r="S107">
        <f t="shared" si="19"/>
        <v>0</v>
      </c>
      <c r="T107">
        <f>HLOOKUP($E$16,$C$90:$O$142,18,0)</f>
        <v>0</v>
      </c>
      <c r="U107">
        <f t="shared" si="20"/>
        <v>0</v>
      </c>
      <c r="V107" s="96">
        <f t="shared" si="21"/>
        <v>0</v>
      </c>
      <c r="W107" s="96">
        <f>HLOOKUP($G$16,$C$90:$O$142,18,0)</f>
        <v>0</v>
      </c>
      <c r="X107" s="96">
        <f t="shared" si="22"/>
        <v>0</v>
      </c>
      <c r="Y107" s="96">
        <f t="shared" si="23"/>
        <v>0</v>
      </c>
      <c r="Z107" s="96">
        <f>HLOOKUP($I$16,$C$90:$O$142,18,0)</f>
        <v>0</v>
      </c>
      <c r="AA107" s="96">
        <f t="shared" si="24"/>
        <v>0</v>
      </c>
    </row>
    <row r="108" spans="1:27" ht="13.8" x14ac:dyDescent="0.25">
      <c r="A108" s="345"/>
      <c r="B108" s="353">
        <v>18</v>
      </c>
      <c r="C108" s="354"/>
      <c r="D108" s="354"/>
      <c r="E108" s="354">
        <v>7.0000000000000007E-2</v>
      </c>
      <c r="F108" s="354">
        <v>7.0000000000000007E-2</v>
      </c>
      <c r="G108" s="354">
        <v>0.14000000000000001</v>
      </c>
      <c r="H108" s="354">
        <v>0.63</v>
      </c>
      <c r="I108" s="354">
        <v>1.4</v>
      </c>
      <c r="J108" s="354">
        <v>2.52</v>
      </c>
      <c r="K108" s="354">
        <v>3.15</v>
      </c>
      <c r="L108" s="354">
        <v>3.78</v>
      </c>
      <c r="M108" s="354">
        <v>5.25</v>
      </c>
      <c r="N108" s="354">
        <v>6.65</v>
      </c>
      <c r="O108" s="354">
        <v>8.33</v>
      </c>
      <c r="P108">
        <f t="shared" si="17"/>
        <v>0</v>
      </c>
      <c r="Q108">
        <f>HLOOKUP($C$16,$C$90:$O$142,19,0)</f>
        <v>3.15</v>
      </c>
      <c r="R108">
        <f t="shared" si="18"/>
        <v>0</v>
      </c>
      <c r="S108">
        <f t="shared" si="19"/>
        <v>0</v>
      </c>
      <c r="T108">
        <f>HLOOKUP($E$16,$C$90:$O$142,19,0)</f>
        <v>0</v>
      </c>
      <c r="U108">
        <f t="shared" si="20"/>
        <v>0</v>
      </c>
      <c r="V108" s="96">
        <f t="shared" si="21"/>
        <v>0</v>
      </c>
      <c r="W108" s="96">
        <f>HLOOKUP($G$16,$C$90:$O$142,19,0)</f>
        <v>0</v>
      </c>
      <c r="X108" s="96">
        <f t="shared" si="22"/>
        <v>0</v>
      </c>
      <c r="Y108" s="96">
        <f t="shared" si="23"/>
        <v>0</v>
      </c>
      <c r="Z108" s="96">
        <f>HLOOKUP($I$16,$C$90:$O$142,19,0)</f>
        <v>0</v>
      </c>
      <c r="AA108" s="96">
        <f t="shared" si="24"/>
        <v>0</v>
      </c>
    </row>
    <row r="109" spans="1:27" ht="13.8" x14ac:dyDescent="0.25">
      <c r="A109" s="350" t="s">
        <v>546</v>
      </c>
      <c r="B109" s="353">
        <v>19</v>
      </c>
      <c r="C109" s="352"/>
      <c r="D109" s="352"/>
      <c r="E109" s="352"/>
      <c r="F109" s="352">
        <v>7.0000000000000007E-2</v>
      </c>
      <c r="G109" s="352">
        <v>7.0000000000000007E-2</v>
      </c>
      <c r="H109" s="352">
        <v>0.21</v>
      </c>
      <c r="I109" s="352">
        <v>0.49</v>
      </c>
      <c r="J109" s="352">
        <v>0.84</v>
      </c>
      <c r="K109" s="352">
        <v>1.19</v>
      </c>
      <c r="L109" s="352">
        <v>1.75</v>
      </c>
      <c r="M109" s="352">
        <v>2.87</v>
      </c>
      <c r="N109" s="352">
        <v>4.0599999999999996</v>
      </c>
      <c r="O109" s="352">
        <v>5.6</v>
      </c>
      <c r="P109">
        <f t="shared" si="17"/>
        <v>1</v>
      </c>
      <c r="Q109">
        <f>HLOOKUP($C$16,$C$90:$O$142,20,0)</f>
        <v>1.19</v>
      </c>
      <c r="R109">
        <f t="shared" si="18"/>
        <v>1.19</v>
      </c>
      <c r="S109">
        <f t="shared" si="19"/>
        <v>0</v>
      </c>
      <c r="T109">
        <f>HLOOKUP($E$16,$C$90:$O$142,20,0)</f>
        <v>0</v>
      </c>
      <c r="U109">
        <f t="shared" si="20"/>
        <v>0</v>
      </c>
      <c r="V109" s="96">
        <f t="shared" si="21"/>
        <v>0</v>
      </c>
      <c r="W109" s="96">
        <f>HLOOKUP($G$16,$C$90:$O$142,20,0)</f>
        <v>0</v>
      </c>
      <c r="X109" s="96">
        <f t="shared" si="22"/>
        <v>0</v>
      </c>
      <c r="Y109" s="96">
        <f t="shared" si="23"/>
        <v>0</v>
      </c>
      <c r="Z109" s="96">
        <f>HLOOKUP($I$16,$C$90:$O$142,20,0)</f>
        <v>0</v>
      </c>
      <c r="AA109" s="96">
        <f t="shared" si="24"/>
        <v>0</v>
      </c>
    </row>
    <row r="110" spans="1:27" ht="13.8" x14ac:dyDescent="0.25">
      <c r="A110" s="345"/>
      <c r="B110" s="353">
        <v>20</v>
      </c>
      <c r="C110" s="354"/>
      <c r="D110" s="354"/>
      <c r="E110" s="354"/>
      <c r="F110" s="354"/>
      <c r="G110" s="354"/>
      <c r="H110" s="354">
        <v>7.0000000000000007E-2</v>
      </c>
      <c r="I110" s="354">
        <v>0.28000000000000003</v>
      </c>
      <c r="J110" s="354">
        <v>0.84</v>
      </c>
      <c r="K110" s="354">
        <v>1.19</v>
      </c>
      <c r="L110" s="354">
        <v>1.68</v>
      </c>
      <c r="M110" s="354">
        <v>3.08</v>
      </c>
      <c r="N110" s="354">
        <v>4.2699999999999996</v>
      </c>
      <c r="O110" s="354">
        <v>5.74</v>
      </c>
      <c r="P110">
        <f t="shared" si="17"/>
        <v>1</v>
      </c>
      <c r="Q110">
        <f>HLOOKUP($C$16,$C$90:$O$142,21,0)</f>
        <v>1.19</v>
      </c>
      <c r="R110">
        <f t="shared" si="18"/>
        <v>1.19</v>
      </c>
      <c r="S110">
        <f t="shared" si="19"/>
        <v>0</v>
      </c>
      <c r="T110">
        <f>HLOOKUP($E$16,$C$90:$O$142,21,0)</f>
        <v>0</v>
      </c>
      <c r="U110">
        <f t="shared" si="20"/>
        <v>0</v>
      </c>
      <c r="V110" s="96">
        <f t="shared" si="21"/>
        <v>0</v>
      </c>
      <c r="W110" s="96">
        <f>HLOOKUP($G$16,$C$90:$O$142,21,0)</f>
        <v>0</v>
      </c>
      <c r="X110" s="96">
        <f t="shared" si="22"/>
        <v>0</v>
      </c>
      <c r="Y110" s="96">
        <f t="shared" si="23"/>
        <v>0</v>
      </c>
      <c r="Z110" s="96">
        <f>HLOOKUP($I$16,$C$90:$O$142,21,0)</f>
        <v>0</v>
      </c>
      <c r="AA110" s="96">
        <f t="shared" si="24"/>
        <v>0</v>
      </c>
    </row>
    <row r="111" spans="1:27" ht="13.8" x14ac:dyDescent="0.25">
      <c r="A111" s="345"/>
      <c r="B111" s="353">
        <v>21</v>
      </c>
      <c r="C111" s="354"/>
      <c r="D111" s="354"/>
      <c r="E111" s="354"/>
      <c r="F111" s="354"/>
      <c r="G111" s="354"/>
      <c r="H111" s="354">
        <v>7.0000000000000007E-2</v>
      </c>
      <c r="I111" s="354">
        <v>0.49</v>
      </c>
      <c r="J111" s="354">
        <v>1.1200000000000001</v>
      </c>
      <c r="K111" s="354">
        <v>1.54</v>
      </c>
      <c r="L111" s="354">
        <v>2.1</v>
      </c>
      <c r="M111" s="354">
        <v>3.36</v>
      </c>
      <c r="N111" s="354">
        <v>4.62</v>
      </c>
      <c r="O111" s="354">
        <v>6.02</v>
      </c>
      <c r="P111">
        <f t="shared" si="17"/>
        <v>1</v>
      </c>
      <c r="Q111">
        <f>HLOOKUP($C$16,$C$90:$O$142,22,0)</f>
        <v>1.54</v>
      </c>
      <c r="R111">
        <f t="shared" si="18"/>
        <v>1.54</v>
      </c>
      <c r="S111">
        <f t="shared" si="19"/>
        <v>0</v>
      </c>
      <c r="T111">
        <f>HLOOKUP($E$16,$C$90:$O$142,22,0)</f>
        <v>0</v>
      </c>
      <c r="U111">
        <f t="shared" si="20"/>
        <v>0</v>
      </c>
      <c r="V111" s="96">
        <f t="shared" si="21"/>
        <v>0</v>
      </c>
      <c r="W111" s="96">
        <f>HLOOKUP($G$16,$C$90:$O$142,22,0)</f>
        <v>0</v>
      </c>
      <c r="X111" s="96">
        <f t="shared" si="22"/>
        <v>0</v>
      </c>
      <c r="Y111" s="96">
        <f t="shared" si="23"/>
        <v>0</v>
      </c>
      <c r="Z111" s="96">
        <f>HLOOKUP($I$16,$C$90:$O$142,22,0)</f>
        <v>0</v>
      </c>
      <c r="AA111" s="96">
        <f t="shared" si="24"/>
        <v>0</v>
      </c>
    </row>
    <row r="112" spans="1:27" ht="13.8" x14ac:dyDescent="0.25">
      <c r="A112" s="345"/>
      <c r="B112" s="353">
        <v>22</v>
      </c>
      <c r="C112" s="354"/>
      <c r="D112" s="354"/>
      <c r="E112" s="354"/>
      <c r="F112" s="354"/>
      <c r="G112" s="354"/>
      <c r="H112" s="354"/>
      <c r="I112" s="354">
        <v>0.42</v>
      </c>
      <c r="J112" s="354">
        <v>0.91</v>
      </c>
      <c r="K112" s="354">
        <v>1.19</v>
      </c>
      <c r="L112" s="354">
        <v>1.54</v>
      </c>
      <c r="M112" s="354">
        <v>2.52</v>
      </c>
      <c r="N112" s="354">
        <v>3.78</v>
      </c>
      <c r="O112" s="354">
        <v>4.9000000000000004</v>
      </c>
      <c r="P112">
        <f t="shared" si="17"/>
        <v>1</v>
      </c>
      <c r="Q112">
        <f>HLOOKUP($C$16,$C$90:$O$142,23,0)</f>
        <v>1.19</v>
      </c>
      <c r="R112">
        <f t="shared" si="18"/>
        <v>1.19</v>
      </c>
      <c r="S112">
        <f t="shared" si="19"/>
        <v>0</v>
      </c>
      <c r="T112">
        <f>HLOOKUP($E$16,$C$90:$O$142,23,0)</f>
        <v>0</v>
      </c>
      <c r="U112">
        <f t="shared" si="20"/>
        <v>0</v>
      </c>
      <c r="V112" s="96">
        <f t="shared" si="21"/>
        <v>0</v>
      </c>
      <c r="W112" s="96">
        <f>HLOOKUP($G$16,$C$90:$O$142,23,0)</f>
        <v>0</v>
      </c>
      <c r="X112" s="96">
        <f t="shared" si="22"/>
        <v>0</v>
      </c>
      <c r="Y112" s="96">
        <f t="shared" si="23"/>
        <v>0</v>
      </c>
      <c r="Z112" s="96">
        <f>HLOOKUP($I$16,$C$90:$O$142,23,0)</f>
        <v>0</v>
      </c>
      <c r="AA112" s="96">
        <f t="shared" si="24"/>
        <v>0</v>
      </c>
    </row>
    <row r="113" spans="1:27" ht="13.8" x14ac:dyDescent="0.25">
      <c r="A113" s="350" t="s">
        <v>547</v>
      </c>
      <c r="B113" s="353">
        <v>23</v>
      </c>
      <c r="C113" s="352"/>
      <c r="D113" s="352"/>
      <c r="E113" s="352"/>
      <c r="F113" s="352"/>
      <c r="G113" s="352"/>
      <c r="H113" s="352"/>
      <c r="I113" s="352">
        <v>7.0000000000000007E-2</v>
      </c>
      <c r="J113" s="352">
        <v>0.21</v>
      </c>
      <c r="K113" s="352">
        <v>0.42</v>
      </c>
      <c r="L113" s="352">
        <v>0.7</v>
      </c>
      <c r="M113" s="352">
        <v>1.54</v>
      </c>
      <c r="N113" s="352">
        <v>2.73</v>
      </c>
      <c r="O113" s="352">
        <v>3.99</v>
      </c>
      <c r="P113">
        <f t="shared" si="17"/>
        <v>1</v>
      </c>
      <c r="Q113">
        <f>HLOOKUP($C$16,$C$90:$O$142,24,0)</f>
        <v>0.42</v>
      </c>
      <c r="R113">
        <f t="shared" si="18"/>
        <v>0.42</v>
      </c>
      <c r="S113">
        <f t="shared" si="19"/>
        <v>0</v>
      </c>
      <c r="T113">
        <f>HLOOKUP($E$16,$C$90:$O$142,24,0)</f>
        <v>0</v>
      </c>
      <c r="U113">
        <f t="shared" si="20"/>
        <v>0</v>
      </c>
      <c r="V113" s="96">
        <f t="shared" si="21"/>
        <v>0</v>
      </c>
      <c r="W113" s="96">
        <f>HLOOKUP($G$16,$C$90:$O$142,24,0)</f>
        <v>0</v>
      </c>
      <c r="X113" s="96">
        <f t="shared" si="22"/>
        <v>0</v>
      </c>
      <c r="Y113" s="96">
        <f t="shared" si="23"/>
        <v>0</v>
      </c>
      <c r="Z113" s="96">
        <f>HLOOKUP($I$16,$C$90:$O$142,24,0)</f>
        <v>0</v>
      </c>
      <c r="AA113" s="96">
        <f t="shared" si="24"/>
        <v>0</v>
      </c>
    </row>
    <row r="114" spans="1:27" ht="13.8" x14ac:dyDescent="0.25">
      <c r="A114" s="345"/>
      <c r="B114" s="353">
        <v>24</v>
      </c>
      <c r="C114" s="354"/>
      <c r="D114" s="354"/>
      <c r="E114" s="354"/>
      <c r="F114" s="354"/>
      <c r="G114" s="354"/>
      <c r="H114" s="354"/>
      <c r="I114" s="354">
        <v>7.0000000000000007E-2</v>
      </c>
      <c r="J114" s="354">
        <v>7.0000000000000007E-2</v>
      </c>
      <c r="K114" s="354">
        <v>0.21</v>
      </c>
      <c r="L114" s="354">
        <v>0.56000000000000005</v>
      </c>
      <c r="M114" s="354">
        <v>1.47</v>
      </c>
      <c r="N114" s="354">
        <v>2.59</v>
      </c>
      <c r="O114" s="354">
        <v>3.92</v>
      </c>
      <c r="P114">
        <f t="shared" si="17"/>
        <v>1</v>
      </c>
      <c r="Q114">
        <f>HLOOKUP($C$16,$C$90:$O$142,25,0)</f>
        <v>0.21</v>
      </c>
      <c r="R114">
        <f t="shared" si="18"/>
        <v>0.21</v>
      </c>
      <c r="S114">
        <f t="shared" si="19"/>
        <v>0</v>
      </c>
      <c r="T114">
        <f>HLOOKUP($E$16,$C$90:$O$142,25,0)</f>
        <v>0</v>
      </c>
      <c r="U114">
        <f t="shared" si="20"/>
        <v>0</v>
      </c>
      <c r="V114" s="96">
        <f t="shared" si="21"/>
        <v>0</v>
      </c>
      <c r="W114" s="96">
        <f>HLOOKUP($G$16,$C$90:$O$142,25,0)</f>
        <v>0</v>
      </c>
      <c r="X114" s="96">
        <f t="shared" si="22"/>
        <v>0</v>
      </c>
      <c r="Y114" s="96">
        <f t="shared" si="23"/>
        <v>0</v>
      </c>
      <c r="Z114" s="96">
        <f>HLOOKUP($I$16,$C$90:$O$142,25,0)</f>
        <v>0</v>
      </c>
      <c r="AA114" s="96">
        <f t="shared" si="24"/>
        <v>0</v>
      </c>
    </row>
    <row r="115" spans="1:27" ht="13.8" x14ac:dyDescent="0.25">
      <c r="A115" s="345"/>
      <c r="B115" s="353">
        <v>25</v>
      </c>
      <c r="C115" s="354"/>
      <c r="D115" s="354"/>
      <c r="E115" s="354"/>
      <c r="F115" s="354"/>
      <c r="G115" s="354"/>
      <c r="H115" s="354"/>
      <c r="I115" s="354">
        <v>7.0000000000000007E-2</v>
      </c>
      <c r="J115" s="354">
        <v>0.14000000000000001</v>
      </c>
      <c r="K115" s="354">
        <v>0.28000000000000003</v>
      </c>
      <c r="L115" s="354">
        <v>0.63</v>
      </c>
      <c r="M115" s="354">
        <v>1.47</v>
      </c>
      <c r="N115" s="354">
        <v>2.66</v>
      </c>
      <c r="O115" s="354">
        <v>3.99</v>
      </c>
      <c r="P115">
        <f t="shared" si="17"/>
        <v>1</v>
      </c>
      <c r="Q115">
        <f>HLOOKUP($C$16,$C$90:$O$142,26,0)</f>
        <v>0.28000000000000003</v>
      </c>
      <c r="R115">
        <f t="shared" si="18"/>
        <v>0.28000000000000003</v>
      </c>
      <c r="S115">
        <f t="shared" si="19"/>
        <v>0</v>
      </c>
      <c r="T115">
        <f>HLOOKUP($E$16,$C$90:$O$142,26,0)</f>
        <v>0</v>
      </c>
      <c r="U115">
        <f t="shared" si="20"/>
        <v>0</v>
      </c>
      <c r="V115" s="96">
        <f t="shared" si="21"/>
        <v>0</v>
      </c>
      <c r="W115" s="96">
        <f>HLOOKUP($G$16,$C$90:$O$142,26,0)</f>
        <v>0</v>
      </c>
      <c r="X115" s="96">
        <f t="shared" si="22"/>
        <v>0</v>
      </c>
      <c r="Y115" s="96">
        <f t="shared" si="23"/>
        <v>0</v>
      </c>
      <c r="Z115" s="96">
        <f>HLOOKUP($I$16,$C$90:$O$142,26,0)</f>
        <v>0</v>
      </c>
      <c r="AA115" s="96">
        <f t="shared" si="24"/>
        <v>0</v>
      </c>
    </row>
    <row r="116" spans="1:27" ht="13.8" x14ac:dyDescent="0.25">
      <c r="A116" s="345"/>
      <c r="B116" s="353">
        <v>26</v>
      </c>
      <c r="C116" s="354"/>
      <c r="D116" s="354"/>
      <c r="E116" s="354"/>
      <c r="F116" s="354"/>
      <c r="G116" s="354"/>
      <c r="H116" s="354"/>
      <c r="I116" s="354"/>
      <c r="J116" s="354">
        <v>0.21</v>
      </c>
      <c r="K116" s="354">
        <v>0.42</v>
      </c>
      <c r="L116" s="354">
        <v>0.77</v>
      </c>
      <c r="M116" s="354">
        <v>1.61</v>
      </c>
      <c r="N116" s="354">
        <v>2.87</v>
      </c>
      <c r="O116" s="354">
        <v>4.13</v>
      </c>
      <c r="P116">
        <f t="shared" si="17"/>
        <v>0</v>
      </c>
      <c r="Q116">
        <f>HLOOKUP($C$16,$C$90:$O$142,27,0)</f>
        <v>0.42</v>
      </c>
      <c r="R116">
        <f t="shared" si="18"/>
        <v>0</v>
      </c>
      <c r="S116">
        <f t="shared" si="19"/>
        <v>0</v>
      </c>
      <c r="T116">
        <f>HLOOKUP($E$16,$C$90:$O$142,27,0)</f>
        <v>0</v>
      </c>
      <c r="U116">
        <f t="shared" si="20"/>
        <v>0</v>
      </c>
      <c r="V116" s="96">
        <f t="shared" si="21"/>
        <v>0</v>
      </c>
      <c r="W116" s="96">
        <f>HLOOKUP($G$16,$C$90:$O$142,27,0)</f>
        <v>0</v>
      </c>
      <c r="X116" s="96">
        <f t="shared" si="22"/>
        <v>0</v>
      </c>
      <c r="Y116" s="96">
        <f t="shared" si="23"/>
        <v>0</v>
      </c>
      <c r="Z116" s="96">
        <f>HLOOKUP($I$16,$C$90:$O$142,27,0)</f>
        <v>0</v>
      </c>
      <c r="AA116" s="96">
        <f t="shared" si="24"/>
        <v>0</v>
      </c>
    </row>
    <row r="117" spans="1:27" ht="13.8" x14ac:dyDescent="0.25">
      <c r="A117" s="350" t="s">
        <v>548</v>
      </c>
      <c r="B117" s="353">
        <v>27</v>
      </c>
      <c r="C117" s="352"/>
      <c r="D117" s="352"/>
      <c r="E117" s="352"/>
      <c r="F117" s="352"/>
      <c r="G117" s="352"/>
      <c r="H117" s="352"/>
      <c r="I117" s="352"/>
      <c r="J117" s="352">
        <v>7.0000000000000007E-2</v>
      </c>
      <c r="K117" s="352">
        <v>0.14000000000000001</v>
      </c>
      <c r="L117" s="352">
        <v>0.42</v>
      </c>
      <c r="M117" s="352">
        <v>1.19</v>
      </c>
      <c r="N117" s="352">
        <v>2.2400000000000002</v>
      </c>
      <c r="O117" s="352">
        <v>3.43</v>
      </c>
      <c r="P117">
        <f t="shared" si="17"/>
        <v>0</v>
      </c>
      <c r="Q117">
        <f>HLOOKUP($C$16,$C$90:$O$142,28,0)</f>
        <v>0.14000000000000001</v>
      </c>
      <c r="R117">
        <f t="shared" si="18"/>
        <v>0</v>
      </c>
      <c r="S117">
        <f t="shared" si="19"/>
        <v>0</v>
      </c>
      <c r="T117">
        <f>HLOOKUP($E$16,$C$90:$O$142,28,0)</f>
        <v>0</v>
      </c>
      <c r="U117">
        <f t="shared" si="20"/>
        <v>0</v>
      </c>
      <c r="V117" s="96">
        <f t="shared" si="21"/>
        <v>0</v>
      </c>
      <c r="W117" s="96">
        <f>HLOOKUP($G$16,$C$90:$O$142,28,0)</f>
        <v>0</v>
      </c>
      <c r="X117" s="96">
        <f t="shared" si="22"/>
        <v>0</v>
      </c>
      <c r="Y117" s="96">
        <f t="shared" si="23"/>
        <v>0</v>
      </c>
      <c r="Z117" s="96">
        <f>HLOOKUP($I$16,$C$90:$O$142,28,0)</f>
        <v>0</v>
      </c>
      <c r="AA117" s="96">
        <f t="shared" si="24"/>
        <v>0</v>
      </c>
    </row>
    <row r="118" spans="1:27" ht="13.8" x14ac:dyDescent="0.25">
      <c r="A118" s="345"/>
      <c r="B118" s="353">
        <v>28</v>
      </c>
      <c r="C118" s="354"/>
      <c r="D118" s="354"/>
      <c r="E118" s="354"/>
      <c r="F118" s="354"/>
      <c r="G118" s="354"/>
      <c r="H118" s="354"/>
      <c r="I118" s="354"/>
      <c r="J118" s="354"/>
      <c r="K118" s="354"/>
      <c r="L118" s="354">
        <v>7.0000000000000007E-2</v>
      </c>
      <c r="M118" s="354">
        <v>0.35</v>
      </c>
      <c r="N118" s="354">
        <v>1.05</v>
      </c>
      <c r="O118" s="354">
        <v>2.2400000000000002</v>
      </c>
      <c r="P118">
        <f t="shared" si="17"/>
        <v>0</v>
      </c>
      <c r="Q118">
        <f>HLOOKUP($C$16,$C$90:$O$142,29,0)</f>
        <v>0</v>
      </c>
      <c r="R118">
        <f t="shared" si="18"/>
        <v>0</v>
      </c>
      <c r="S118">
        <f t="shared" si="19"/>
        <v>0</v>
      </c>
      <c r="T118">
        <f>HLOOKUP($E$16,$C$90:$O$142,29,0)</f>
        <v>0</v>
      </c>
      <c r="U118">
        <f t="shared" si="20"/>
        <v>0</v>
      </c>
      <c r="V118" s="96">
        <f t="shared" si="21"/>
        <v>0</v>
      </c>
      <c r="W118" s="96">
        <f>HLOOKUP($G$16,$C$90:$O$142,29,0)</f>
        <v>0</v>
      </c>
      <c r="X118" s="96">
        <f t="shared" si="22"/>
        <v>0</v>
      </c>
      <c r="Y118" s="96">
        <f t="shared" si="23"/>
        <v>0</v>
      </c>
      <c r="Z118" s="96">
        <f>HLOOKUP($I$16,$C$90:$O$142,29,0)</f>
        <v>0</v>
      </c>
      <c r="AA118" s="96">
        <f t="shared" si="24"/>
        <v>0</v>
      </c>
    </row>
    <row r="119" spans="1:27" ht="13.8" x14ac:dyDescent="0.25">
      <c r="A119" s="345"/>
      <c r="B119" s="353">
        <v>29</v>
      </c>
      <c r="C119" s="354"/>
      <c r="D119" s="354"/>
      <c r="E119" s="354"/>
      <c r="F119" s="354"/>
      <c r="G119" s="354"/>
      <c r="H119" s="354"/>
      <c r="I119" s="354"/>
      <c r="J119" s="354"/>
      <c r="K119" s="354">
        <v>7.0000000000000007E-2</v>
      </c>
      <c r="L119" s="354">
        <v>0.14000000000000001</v>
      </c>
      <c r="M119" s="354">
        <v>0.49</v>
      </c>
      <c r="N119" s="354">
        <v>1.54</v>
      </c>
      <c r="O119" s="354">
        <v>2.73</v>
      </c>
      <c r="P119">
        <f t="shared" si="17"/>
        <v>0</v>
      </c>
      <c r="Q119">
        <f>HLOOKUP($C$16,$C$90:$O$142,30,0)</f>
        <v>7.0000000000000007E-2</v>
      </c>
      <c r="R119">
        <f t="shared" si="18"/>
        <v>0</v>
      </c>
      <c r="S119">
        <f t="shared" si="19"/>
        <v>1</v>
      </c>
      <c r="T119">
        <f>HLOOKUP($E$16,$C$90:$O$142,30,0)</f>
        <v>0</v>
      </c>
      <c r="U119">
        <f t="shared" si="20"/>
        <v>0</v>
      </c>
      <c r="V119" s="96">
        <f t="shared" si="21"/>
        <v>1</v>
      </c>
      <c r="W119" s="96">
        <f>HLOOKUP($G$16,$C$90:$O$142,30,0)</f>
        <v>0</v>
      </c>
      <c r="X119" s="96">
        <f t="shared" si="22"/>
        <v>0</v>
      </c>
      <c r="Y119" s="96">
        <f t="shared" si="23"/>
        <v>1</v>
      </c>
      <c r="Z119" s="96">
        <f>HLOOKUP($I$16,$C$90:$O$142,30,0)</f>
        <v>0</v>
      </c>
      <c r="AA119" s="96">
        <f t="shared" si="24"/>
        <v>0</v>
      </c>
    </row>
    <row r="120" spans="1:27" ht="13.8" x14ac:dyDescent="0.25">
      <c r="A120" s="345"/>
      <c r="B120" s="353">
        <v>30</v>
      </c>
      <c r="C120" s="354"/>
      <c r="D120" s="354"/>
      <c r="E120" s="354"/>
      <c r="F120" s="354"/>
      <c r="G120" s="354"/>
      <c r="H120" s="354"/>
      <c r="I120" s="354"/>
      <c r="J120" s="354">
        <v>7.0000000000000007E-2</v>
      </c>
      <c r="K120" s="354">
        <v>0.14000000000000001</v>
      </c>
      <c r="L120" s="354">
        <v>0.28000000000000003</v>
      </c>
      <c r="M120" s="354">
        <v>0.84</v>
      </c>
      <c r="N120" s="354">
        <v>2.0299999999999998</v>
      </c>
      <c r="O120" s="354">
        <v>3.29</v>
      </c>
      <c r="P120">
        <f t="shared" si="17"/>
        <v>0</v>
      </c>
      <c r="Q120">
        <f>HLOOKUP($C$16,$C$90:$O$142,31,0)</f>
        <v>0.14000000000000001</v>
      </c>
      <c r="R120">
        <f t="shared" si="18"/>
        <v>0</v>
      </c>
      <c r="S120">
        <f t="shared" si="19"/>
        <v>1</v>
      </c>
      <c r="T120">
        <f>HLOOKUP($E$16,$C$90:$O$142,31,0)</f>
        <v>0</v>
      </c>
      <c r="U120">
        <f t="shared" si="20"/>
        <v>0</v>
      </c>
      <c r="V120" s="96">
        <f t="shared" si="21"/>
        <v>1</v>
      </c>
      <c r="W120" s="96">
        <f>HLOOKUP($G$16,$C$90:$O$142,31,0)</f>
        <v>0</v>
      </c>
      <c r="X120" s="96">
        <f t="shared" si="22"/>
        <v>0</v>
      </c>
      <c r="Y120" s="96">
        <f t="shared" si="23"/>
        <v>1</v>
      </c>
      <c r="Z120" s="96">
        <f>HLOOKUP($I$16,$C$90:$O$142,31,0)</f>
        <v>0</v>
      </c>
      <c r="AA120" s="96">
        <f t="shared" si="24"/>
        <v>0</v>
      </c>
    </row>
    <row r="121" spans="1:27" ht="13.8" x14ac:dyDescent="0.25">
      <c r="A121" s="345"/>
      <c r="B121" s="353">
        <v>31</v>
      </c>
      <c r="C121" s="354"/>
      <c r="D121" s="354"/>
      <c r="E121" s="354"/>
      <c r="F121" s="354"/>
      <c r="G121" s="354"/>
      <c r="H121" s="354"/>
      <c r="I121" s="354"/>
      <c r="J121" s="354"/>
      <c r="K121" s="354">
        <v>7.0000000000000007E-2</v>
      </c>
      <c r="L121" s="354">
        <v>0.21</v>
      </c>
      <c r="M121" s="354">
        <v>0.56000000000000005</v>
      </c>
      <c r="N121" s="354">
        <v>1.68</v>
      </c>
      <c r="O121" s="354">
        <v>2.94</v>
      </c>
      <c r="P121">
        <f t="shared" si="17"/>
        <v>0</v>
      </c>
      <c r="Q121">
        <f>HLOOKUP($C$16,$C$90:$O$142,32,0)</f>
        <v>7.0000000000000007E-2</v>
      </c>
      <c r="R121">
        <f t="shared" si="18"/>
        <v>0</v>
      </c>
      <c r="S121">
        <f t="shared" si="19"/>
        <v>0</v>
      </c>
      <c r="T121">
        <f>HLOOKUP($E$16,$C$90:$O$142,32,0)</f>
        <v>0</v>
      </c>
      <c r="U121">
        <f t="shared" si="20"/>
        <v>0</v>
      </c>
      <c r="V121" s="96">
        <f t="shared" si="21"/>
        <v>0</v>
      </c>
      <c r="W121" s="96">
        <f>HLOOKUP($G$16,$C$90:$O$142,32,0)</f>
        <v>0</v>
      </c>
      <c r="X121" s="96">
        <f t="shared" si="22"/>
        <v>0</v>
      </c>
      <c r="Y121" s="96">
        <f t="shared" si="23"/>
        <v>0</v>
      </c>
      <c r="Z121" s="96">
        <f>HLOOKUP($I$16,$C$90:$O$142,32,0)</f>
        <v>0</v>
      </c>
      <c r="AA121" s="96">
        <f t="shared" si="24"/>
        <v>0</v>
      </c>
    </row>
    <row r="122" spans="1:27" ht="13.8" x14ac:dyDescent="0.25">
      <c r="A122" s="350" t="s">
        <v>549</v>
      </c>
      <c r="B122" s="353">
        <v>32</v>
      </c>
      <c r="C122" s="352"/>
      <c r="D122" s="352"/>
      <c r="E122" s="352"/>
      <c r="F122" s="352"/>
      <c r="G122" s="352"/>
      <c r="H122" s="352"/>
      <c r="I122" s="352"/>
      <c r="J122" s="352">
        <v>7.0000000000000007E-2</v>
      </c>
      <c r="K122" s="352">
        <v>7.0000000000000007E-2</v>
      </c>
      <c r="L122" s="352">
        <v>0.21</v>
      </c>
      <c r="M122" s="352">
        <v>0.7</v>
      </c>
      <c r="N122" s="352">
        <v>1.89</v>
      </c>
      <c r="O122" s="352">
        <v>3.22</v>
      </c>
      <c r="P122">
        <f t="shared" si="17"/>
        <v>0</v>
      </c>
      <c r="Q122">
        <f>HLOOKUP($C$16,$C$90:$O$142,33,0)</f>
        <v>7.0000000000000007E-2</v>
      </c>
      <c r="R122">
        <f t="shared" si="18"/>
        <v>0</v>
      </c>
      <c r="S122">
        <f t="shared" si="19"/>
        <v>0</v>
      </c>
      <c r="T122">
        <f>HLOOKUP($E$16,$C$90:$O$142,33,0)</f>
        <v>0</v>
      </c>
      <c r="U122">
        <f t="shared" si="20"/>
        <v>0</v>
      </c>
      <c r="V122" s="96">
        <f t="shared" si="21"/>
        <v>0</v>
      </c>
      <c r="W122" s="96">
        <f>HLOOKUP($G$16,$C$90:$O$142,33,0)</f>
        <v>0</v>
      </c>
      <c r="X122" s="96">
        <f t="shared" si="22"/>
        <v>0</v>
      </c>
      <c r="Y122" s="96">
        <f t="shared" si="23"/>
        <v>0</v>
      </c>
      <c r="Z122" s="96">
        <f>HLOOKUP($I$16,$C$90:$O$142,33,0)</f>
        <v>0</v>
      </c>
      <c r="AA122" s="96">
        <f t="shared" si="24"/>
        <v>0</v>
      </c>
    </row>
    <row r="123" spans="1:27" ht="13.8" x14ac:dyDescent="0.25">
      <c r="A123" s="345"/>
      <c r="B123" s="353">
        <v>33</v>
      </c>
      <c r="C123" s="354"/>
      <c r="D123" s="354"/>
      <c r="E123" s="354"/>
      <c r="F123" s="354"/>
      <c r="G123" s="354"/>
      <c r="H123" s="354"/>
      <c r="I123" s="354"/>
      <c r="J123" s="354"/>
      <c r="K123" s="354">
        <v>0.14000000000000001</v>
      </c>
      <c r="L123" s="354">
        <v>0.28000000000000003</v>
      </c>
      <c r="M123" s="354">
        <v>0.77</v>
      </c>
      <c r="N123" s="354">
        <v>1.82</v>
      </c>
      <c r="O123" s="354">
        <v>3.36</v>
      </c>
      <c r="P123">
        <f t="shared" ref="P123:P142" si="25">IF($C$11&lt;$C$12,IF(AND($C$11&lt;=B123,$C$12&gt;=B123),1,0),IF(OR(B123&lt;=$C$12,B123&gt;=$C$11),1,0))</f>
        <v>0</v>
      </c>
      <c r="Q123">
        <f>HLOOKUP($C$16,$C$90:$O$142,34,0)</f>
        <v>0.14000000000000001</v>
      </c>
      <c r="R123">
        <f t="shared" ref="R123:R154" si="26">IF(P123=1,Q123,0)</f>
        <v>0</v>
      </c>
      <c r="S123">
        <f t="shared" ref="S123:S142" si="27">IF($E$11&lt;$E$12,IF(AND($E$11&lt;=B123,$E$12&gt;=B123),1,0),IF(OR(B123&lt;=$C$12,B123&gt;=$E$11),1,0))</f>
        <v>0</v>
      </c>
      <c r="T123">
        <f>HLOOKUP($E$16,$C$90:$O$142,34,0)</f>
        <v>0</v>
      </c>
      <c r="U123">
        <f t="shared" ref="U123:U154" si="28">IF(S123=1,T123,0)</f>
        <v>0</v>
      </c>
      <c r="V123" s="96">
        <f t="shared" ref="V123:V142" si="29">IF($G$11&lt;$G$12,IF(AND($G$11&lt;=B123,$G$12&gt;=B123),1,0),IF(OR(B123&lt;=$G$12,B123&gt;=$G$11),1,0))</f>
        <v>0</v>
      </c>
      <c r="W123" s="96">
        <f>HLOOKUP($G$16,$C$90:$O$142,34,0)</f>
        <v>0</v>
      </c>
      <c r="X123" s="96">
        <f t="shared" ref="X123:X154" si="30">IF(V123=1,W123,0)</f>
        <v>0</v>
      </c>
      <c r="Y123" s="96">
        <f t="shared" ref="Y123:Y142" si="31">IF($I$11&lt;$I$12,IF(AND($I$11&lt;=B123,$I$12&gt;=B123),1,0),IF(OR(B123&lt;=$C$12,B123&gt;=$I$11),1,0))</f>
        <v>0</v>
      </c>
      <c r="Z123" s="96">
        <f>HLOOKUP($I$16,$C$90:$O$142,34,0)</f>
        <v>0</v>
      </c>
      <c r="AA123" s="96">
        <f t="shared" ref="AA123:AA154" si="32">IF(Y123=1,Z123,0)</f>
        <v>0</v>
      </c>
    </row>
    <row r="124" spans="1:27" ht="13.8" x14ac:dyDescent="0.25">
      <c r="A124" s="345"/>
      <c r="B124" s="353">
        <v>34</v>
      </c>
      <c r="C124" s="354"/>
      <c r="D124" s="354"/>
      <c r="E124" s="354"/>
      <c r="F124" s="354"/>
      <c r="G124" s="354"/>
      <c r="H124" s="354"/>
      <c r="I124" s="354"/>
      <c r="J124" s="354">
        <v>0.14000000000000001</v>
      </c>
      <c r="K124" s="354">
        <v>0.28000000000000003</v>
      </c>
      <c r="L124" s="354">
        <v>0.63</v>
      </c>
      <c r="M124" s="354">
        <v>1.54</v>
      </c>
      <c r="N124" s="354">
        <v>2.8</v>
      </c>
      <c r="O124" s="354">
        <v>4.4800000000000004</v>
      </c>
      <c r="P124">
        <f t="shared" si="25"/>
        <v>0</v>
      </c>
      <c r="Q124">
        <f>HLOOKUP($C$16,$C$90:$O$142,35,0)</f>
        <v>0.28000000000000003</v>
      </c>
      <c r="R124">
        <f t="shared" si="26"/>
        <v>0</v>
      </c>
      <c r="S124">
        <f t="shared" si="27"/>
        <v>0</v>
      </c>
      <c r="T124">
        <f>HLOOKUP($E$16,$C$90:$O$142,35,0)</f>
        <v>0</v>
      </c>
      <c r="U124">
        <f t="shared" si="28"/>
        <v>0</v>
      </c>
      <c r="V124" s="96">
        <f t="shared" si="29"/>
        <v>0</v>
      </c>
      <c r="W124" s="96">
        <f>HLOOKUP($G$16,$C$90:$O$142,35,0)</f>
        <v>0</v>
      </c>
      <c r="X124" s="96">
        <f t="shared" si="30"/>
        <v>0</v>
      </c>
      <c r="Y124" s="96">
        <f t="shared" si="31"/>
        <v>0</v>
      </c>
      <c r="Z124" s="96">
        <f>HLOOKUP($I$16,$C$90:$O$142,35,0)</f>
        <v>0</v>
      </c>
      <c r="AA124" s="96">
        <f t="shared" si="32"/>
        <v>0</v>
      </c>
    </row>
    <row r="125" spans="1:27" ht="13.8" x14ac:dyDescent="0.25">
      <c r="A125" s="345"/>
      <c r="B125" s="353">
        <v>35</v>
      </c>
      <c r="C125" s="354"/>
      <c r="D125" s="354"/>
      <c r="E125" s="354"/>
      <c r="F125" s="354"/>
      <c r="G125" s="354"/>
      <c r="H125" s="354"/>
      <c r="I125" s="354"/>
      <c r="J125" s="354">
        <v>0.14000000000000001</v>
      </c>
      <c r="K125" s="354">
        <v>0.14000000000000001</v>
      </c>
      <c r="L125" s="354">
        <v>0.21</v>
      </c>
      <c r="M125" s="354">
        <v>0.84</v>
      </c>
      <c r="N125" s="354">
        <v>2.1</v>
      </c>
      <c r="O125" s="354">
        <v>3.64</v>
      </c>
      <c r="P125">
        <f t="shared" si="25"/>
        <v>0</v>
      </c>
      <c r="Q125">
        <f>HLOOKUP($C$16,$C$90:$O$142,36,0)</f>
        <v>0.14000000000000001</v>
      </c>
      <c r="R125">
        <f t="shared" si="26"/>
        <v>0</v>
      </c>
      <c r="S125">
        <f t="shared" si="27"/>
        <v>0</v>
      </c>
      <c r="T125">
        <f>HLOOKUP($E$16,$C$90:$O$142,36,0)</f>
        <v>0</v>
      </c>
      <c r="U125">
        <f t="shared" si="28"/>
        <v>0</v>
      </c>
      <c r="V125" s="96">
        <f t="shared" si="29"/>
        <v>0</v>
      </c>
      <c r="W125" s="96">
        <f>HLOOKUP($G$16,$C$90:$O$142,36,0)</f>
        <v>0</v>
      </c>
      <c r="X125" s="96">
        <f t="shared" si="30"/>
        <v>0</v>
      </c>
      <c r="Y125" s="96">
        <f t="shared" si="31"/>
        <v>0</v>
      </c>
      <c r="Z125" s="96">
        <f>HLOOKUP($I$16,$C$90:$O$142,36,0)</f>
        <v>0</v>
      </c>
      <c r="AA125" s="96">
        <f t="shared" si="32"/>
        <v>0</v>
      </c>
    </row>
    <row r="126" spans="1:27" ht="13.8" x14ac:dyDescent="0.25">
      <c r="A126" s="350" t="s">
        <v>550</v>
      </c>
      <c r="B126" s="353">
        <v>36</v>
      </c>
      <c r="C126" s="352"/>
      <c r="D126" s="352"/>
      <c r="E126" s="352"/>
      <c r="F126" s="352"/>
      <c r="G126" s="352"/>
      <c r="H126" s="352"/>
      <c r="I126" s="352">
        <v>7.0000000000000007E-2</v>
      </c>
      <c r="J126" s="352">
        <v>0.28000000000000003</v>
      </c>
      <c r="K126" s="352">
        <v>0.42</v>
      </c>
      <c r="L126" s="352">
        <v>0.56000000000000005</v>
      </c>
      <c r="M126" s="352">
        <v>1.4</v>
      </c>
      <c r="N126" s="352">
        <v>2.73</v>
      </c>
      <c r="O126" s="352">
        <v>4.41</v>
      </c>
      <c r="P126">
        <f t="shared" si="25"/>
        <v>0</v>
      </c>
      <c r="Q126">
        <f>HLOOKUP($C$16,$C$90:$O$142,37,0)</f>
        <v>0.42</v>
      </c>
      <c r="R126">
        <f t="shared" si="26"/>
        <v>0</v>
      </c>
      <c r="S126">
        <f t="shared" si="27"/>
        <v>0</v>
      </c>
      <c r="T126">
        <f>HLOOKUP($E$16,$C$90:$O$142,37,0)</f>
        <v>0</v>
      </c>
      <c r="U126">
        <f t="shared" si="28"/>
        <v>0</v>
      </c>
      <c r="V126" s="96">
        <f t="shared" si="29"/>
        <v>0</v>
      </c>
      <c r="W126" s="96">
        <f>HLOOKUP($G$16,$C$90:$O$142,37,0)</f>
        <v>0</v>
      </c>
      <c r="X126" s="96">
        <f t="shared" si="30"/>
        <v>0</v>
      </c>
      <c r="Y126" s="96">
        <f t="shared" si="31"/>
        <v>0</v>
      </c>
      <c r="Z126" s="96">
        <f>HLOOKUP($I$16,$C$90:$O$142,37,0)</f>
        <v>0</v>
      </c>
      <c r="AA126" s="96">
        <f t="shared" si="32"/>
        <v>0</v>
      </c>
    </row>
    <row r="127" spans="1:27" ht="13.8" x14ac:dyDescent="0.25">
      <c r="A127" s="345"/>
      <c r="B127" s="353">
        <v>37</v>
      </c>
      <c r="C127" s="354"/>
      <c r="D127" s="354"/>
      <c r="E127" s="354"/>
      <c r="F127" s="354"/>
      <c r="G127" s="354"/>
      <c r="H127" s="354"/>
      <c r="I127" s="354">
        <v>7.0000000000000007E-2</v>
      </c>
      <c r="J127" s="354">
        <v>0.35</v>
      </c>
      <c r="K127" s="354">
        <v>0.77</v>
      </c>
      <c r="L127" s="354">
        <v>1.19</v>
      </c>
      <c r="M127" s="354">
        <v>2.2400000000000002</v>
      </c>
      <c r="N127" s="354">
        <v>3.92</v>
      </c>
      <c r="O127" s="354">
        <v>5.81</v>
      </c>
      <c r="P127">
        <f t="shared" si="25"/>
        <v>0</v>
      </c>
      <c r="Q127">
        <f>HLOOKUP($C$16,$C$90:$O$142,38,0)</f>
        <v>0.77</v>
      </c>
      <c r="R127">
        <f t="shared" si="26"/>
        <v>0</v>
      </c>
      <c r="S127">
        <f t="shared" si="27"/>
        <v>0</v>
      </c>
      <c r="T127">
        <f>HLOOKUP($E$16,$C$90:$O$142,38,0)</f>
        <v>0</v>
      </c>
      <c r="U127">
        <f t="shared" si="28"/>
        <v>0</v>
      </c>
      <c r="V127" s="96">
        <f t="shared" si="29"/>
        <v>0</v>
      </c>
      <c r="W127" s="96">
        <f>HLOOKUP($G$16,$C$90:$O$142,38,0)</f>
        <v>0</v>
      </c>
      <c r="X127" s="96">
        <f t="shared" si="30"/>
        <v>0</v>
      </c>
      <c r="Y127" s="96">
        <f t="shared" si="31"/>
        <v>0</v>
      </c>
      <c r="Z127" s="96">
        <f>HLOOKUP($I$16,$C$90:$O$142,38,0)</f>
        <v>0</v>
      </c>
      <c r="AA127" s="96">
        <f t="shared" si="32"/>
        <v>0</v>
      </c>
    </row>
    <row r="128" spans="1:27" ht="13.8" x14ac:dyDescent="0.25">
      <c r="A128" s="345"/>
      <c r="B128" s="353">
        <v>38</v>
      </c>
      <c r="C128" s="354"/>
      <c r="D128" s="354"/>
      <c r="E128" s="354"/>
      <c r="F128" s="354"/>
      <c r="G128" s="354"/>
      <c r="H128" s="354">
        <v>7.0000000000000007E-2</v>
      </c>
      <c r="I128" s="354">
        <v>0.35</v>
      </c>
      <c r="J128" s="354">
        <v>1.1200000000000001</v>
      </c>
      <c r="K128" s="354">
        <v>1.61</v>
      </c>
      <c r="L128" s="354">
        <v>2.17</v>
      </c>
      <c r="M128" s="354">
        <v>3.71</v>
      </c>
      <c r="N128" s="354">
        <v>5.6</v>
      </c>
      <c r="O128" s="354">
        <v>7.77</v>
      </c>
      <c r="P128">
        <f t="shared" si="25"/>
        <v>0</v>
      </c>
      <c r="Q128">
        <f>HLOOKUP($C$16,$C$90:$O$142,39,0)</f>
        <v>1.61</v>
      </c>
      <c r="R128">
        <f t="shared" si="26"/>
        <v>0</v>
      </c>
      <c r="S128">
        <f t="shared" si="27"/>
        <v>0</v>
      </c>
      <c r="T128">
        <f>HLOOKUP($C$16,$C$90:$O$142,39,0)</f>
        <v>1.61</v>
      </c>
      <c r="U128">
        <f t="shared" si="28"/>
        <v>0</v>
      </c>
      <c r="V128" s="96">
        <f t="shared" si="29"/>
        <v>0</v>
      </c>
      <c r="W128" s="96">
        <f>HLOOKUP($G$16,$C$90:$O$142,39,0)</f>
        <v>0</v>
      </c>
      <c r="X128" s="96">
        <f t="shared" si="30"/>
        <v>0</v>
      </c>
      <c r="Y128" s="96">
        <f t="shared" si="31"/>
        <v>0</v>
      </c>
      <c r="Z128" s="96">
        <f>HLOOKUP($C$16,$C$90:$O$142,39,0)</f>
        <v>1.61</v>
      </c>
      <c r="AA128" s="96">
        <f t="shared" si="32"/>
        <v>0</v>
      </c>
    </row>
    <row r="129" spans="1:28" ht="13.8" x14ac:dyDescent="0.25">
      <c r="A129" s="345"/>
      <c r="B129" s="353">
        <v>39</v>
      </c>
      <c r="C129" s="354"/>
      <c r="D129" s="354"/>
      <c r="E129" s="354"/>
      <c r="F129" s="354"/>
      <c r="G129" s="354"/>
      <c r="H129" s="354">
        <v>0.14000000000000001</v>
      </c>
      <c r="I129" s="354">
        <v>0.7</v>
      </c>
      <c r="J129" s="354">
        <v>1.89</v>
      </c>
      <c r="K129" s="354">
        <v>2.52</v>
      </c>
      <c r="L129" s="354">
        <v>3.36</v>
      </c>
      <c r="M129" s="354">
        <v>5.53</v>
      </c>
      <c r="N129" s="354">
        <v>7.56</v>
      </c>
      <c r="O129" s="354">
        <v>9.59</v>
      </c>
      <c r="P129">
        <f t="shared" si="25"/>
        <v>0</v>
      </c>
      <c r="Q129">
        <f>HLOOKUP($C$16,$C$90:$O$142,40,0)</f>
        <v>2.52</v>
      </c>
      <c r="R129">
        <f t="shared" si="26"/>
        <v>0</v>
      </c>
      <c r="S129">
        <f t="shared" si="27"/>
        <v>0</v>
      </c>
      <c r="T129">
        <f>HLOOKUP($C$16,$C$90:$O$142,40,0)</f>
        <v>2.52</v>
      </c>
      <c r="U129">
        <f t="shared" si="28"/>
        <v>0</v>
      </c>
      <c r="V129" s="96">
        <f t="shared" si="29"/>
        <v>0</v>
      </c>
      <c r="W129" s="96">
        <f>HLOOKUP($G$16,$C$90:$O$142,40,0)</f>
        <v>0</v>
      </c>
      <c r="X129" s="96">
        <f t="shared" si="30"/>
        <v>0</v>
      </c>
      <c r="Y129" s="96">
        <f t="shared" si="31"/>
        <v>0</v>
      </c>
      <c r="Z129" s="96">
        <f>HLOOKUP($C$16,$C$90:$O$142,40,0)</f>
        <v>2.52</v>
      </c>
      <c r="AA129" s="96">
        <f t="shared" si="32"/>
        <v>0</v>
      </c>
    </row>
    <row r="130" spans="1:28" ht="13.8" x14ac:dyDescent="0.25">
      <c r="A130" s="345"/>
      <c r="B130" s="353">
        <v>40</v>
      </c>
      <c r="C130" s="354"/>
      <c r="D130" s="354"/>
      <c r="E130" s="354"/>
      <c r="F130" s="354"/>
      <c r="G130" s="354"/>
      <c r="H130" s="354">
        <v>0.14000000000000001</v>
      </c>
      <c r="I130" s="354">
        <v>0.77</v>
      </c>
      <c r="J130" s="354">
        <v>2.1</v>
      </c>
      <c r="K130" s="354">
        <v>2.94</v>
      </c>
      <c r="L130" s="354">
        <v>3.92</v>
      </c>
      <c r="M130" s="354">
        <v>6.02</v>
      </c>
      <c r="N130" s="354">
        <v>8.19</v>
      </c>
      <c r="O130" s="354">
        <v>10.36</v>
      </c>
      <c r="P130">
        <f t="shared" si="25"/>
        <v>0</v>
      </c>
      <c r="Q130">
        <f>HLOOKUP($C$16,$C$90:$O$142,41,0)</f>
        <v>2.94</v>
      </c>
      <c r="R130">
        <f t="shared" si="26"/>
        <v>0</v>
      </c>
      <c r="S130">
        <f t="shared" si="27"/>
        <v>0</v>
      </c>
      <c r="T130">
        <f>HLOOKUP($C$16,$C$90:$O$142,41,0)</f>
        <v>2.94</v>
      </c>
      <c r="U130">
        <f t="shared" si="28"/>
        <v>0</v>
      </c>
      <c r="V130" s="96">
        <f t="shared" si="29"/>
        <v>0</v>
      </c>
      <c r="W130" s="96">
        <f>HLOOKUP($G$16,$C$90:$O$142,41,0)</f>
        <v>0</v>
      </c>
      <c r="X130" s="96">
        <f t="shared" si="30"/>
        <v>0</v>
      </c>
      <c r="Y130" s="96">
        <f t="shared" si="31"/>
        <v>0</v>
      </c>
      <c r="Z130" s="96">
        <f>HLOOKUP($C$16,$C$90:$O$142,41,0)</f>
        <v>2.94</v>
      </c>
      <c r="AA130" s="96">
        <f t="shared" si="32"/>
        <v>0</v>
      </c>
    </row>
    <row r="131" spans="1:28" ht="13.8" x14ac:dyDescent="0.25">
      <c r="A131" s="350" t="s">
        <v>551</v>
      </c>
      <c r="B131" s="353">
        <v>41</v>
      </c>
      <c r="C131" s="352"/>
      <c r="D131" s="352"/>
      <c r="E131" s="352"/>
      <c r="F131" s="352">
        <v>7.0000000000000007E-2</v>
      </c>
      <c r="G131" s="352">
        <v>7.0000000000000007E-2</v>
      </c>
      <c r="H131" s="352">
        <v>0.28000000000000003</v>
      </c>
      <c r="I131" s="352">
        <v>1.05</v>
      </c>
      <c r="J131" s="352">
        <v>2.17</v>
      </c>
      <c r="K131" s="352">
        <v>3.22</v>
      </c>
      <c r="L131" s="352">
        <v>4.13</v>
      </c>
      <c r="M131" s="352">
        <v>6.16</v>
      </c>
      <c r="N131" s="352">
        <v>8.33</v>
      </c>
      <c r="O131" s="352">
        <v>10.57</v>
      </c>
      <c r="P131">
        <f t="shared" si="25"/>
        <v>0</v>
      </c>
      <c r="Q131">
        <f>HLOOKUP($C$16,$C$90:$O$142,42,0)</f>
        <v>3.22</v>
      </c>
      <c r="R131">
        <f t="shared" si="26"/>
        <v>0</v>
      </c>
      <c r="S131">
        <f t="shared" si="27"/>
        <v>0</v>
      </c>
      <c r="T131">
        <f>HLOOKUP($C$16,$C$90:$O$142,42,0)</f>
        <v>3.22</v>
      </c>
      <c r="U131">
        <f t="shared" si="28"/>
        <v>0</v>
      </c>
      <c r="V131" s="96">
        <f t="shared" si="29"/>
        <v>0</v>
      </c>
      <c r="W131" s="96">
        <f>HLOOKUP($G$16,$C$90:$O$142,42,0)</f>
        <v>0</v>
      </c>
      <c r="X131" s="96">
        <f t="shared" si="30"/>
        <v>0</v>
      </c>
      <c r="Y131" s="96">
        <f t="shared" si="31"/>
        <v>0</v>
      </c>
      <c r="Z131" s="96">
        <f>HLOOKUP($C$16,$C$90:$O$142,42,0)</f>
        <v>3.22</v>
      </c>
      <c r="AA131" s="96">
        <f t="shared" si="32"/>
        <v>0</v>
      </c>
    </row>
    <row r="132" spans="1:28" ht="13.8" x14ac:dyDescent="0.25">
      <c r="A132" s="345"/>
      <c r="B132" s="353">
        <v>42</v>
      </c>
      <c r="C132" s="354"/>
      <c r="D132" s="354">
        <v>7.0000000000000007E-2</v>
      </c>
      <c r="E132" s="354">
        <v>0.14000000000000001</v>
      </c>
      <c r="F132" s="354">
        <v>0.14000000000000001</v>
      </c>
      <c r="G132" s="354">
        <v>0.49</v>
      </c>
      <c r="H132" s="354">
        <v>1.47</v>
      </c>
      <c r="I132" s="354">
        <v>3.29</v>
      </c>
      <c r="J132" s="354">
        <v>5.32</v>
      </c>
      <c r="K132" s="354">
        <v>6.51</v>
      </c>
      <c r="L132" s="354">
        <v>7.56</v>
      </c>
      <c r="M132" s="354">
        <v>9.94</v>
      </c>
      <c r="N132" s="354">
        <v>12.25</v>
      </c>
      <c r="O132" s="354">
        <v>14.56</v>
      </c>
      <c r="P132">
        <f t="shared" si="25"/>
        <v>0</v>
      </c>
      <c r="Q132">
        <f>HLOOKUP($C$16,$C$90:$O$142,43,0)</f>
        <v>6.51</v>
      </c>
      <c r="R132">
        <f t="shared" si="26"/>
        <v>0</v>
      </c>
      <c r="S132">
        <f t="shared" si="27"/>
        <v>0</v>
      </c>
      <c r="T132">
        <f>HLOOKUP($C$16,$C$90:$O$142,43,0)</f>
        <v>6.51</v>
      </c>
      <c r="U132">
        <f t="shared" si="28"/>
        <v>0</v>
      </c>
      <c r="V132" s="96">
        <f t="shared" si="29"/>
        <v>0</v>
      </c>
      <c r="W132" s="96">
        <f>HLOOKUP($G$16,$C$90:$O$142,43,0)</f>
        <v>0</v>
      </c>
      <c r="X132" s="96">
        <f t="shared" si="30"/>
        <v>0</v>
      </c>
      <c r="Y132" s="96">
        <f t="shared" si="31"/>
        <v>0</v>
      </c>
      <c r="Z132" s="96">
        <f>HLOOKUP($C$16,$C$90:$O$142,43,0)</f>
        <v>6.51</v>
      </c>
      <c r="AA132" s="96">
        <f t="shared" si="32"/>
        <v>0</v>
      </c>
    </row>
    <row r="133" spans="1:28" ht="13.8" x14ac:dyDescent="0.25">
      <c r="A133" s="345"/>
      <c r="B133" s="353">
        <v>43</v>
      </c>
      <c r="C133" s="354"/>
      <c r="D133" s="354">
        <v>7.0000000000000007E-2</v>
      </c>
      <c r="E133" s="354">
        <v>0.14000000000000001</v>
      </c>
      <c r="F133" s="354">
        <v>0.21</v>
      </c>
      <c r="G133" s="354">
        <v>0.84</v>
      </c>
      <c r="H133" s="354">
        <v>2.1</v>
      </c>
      <c r="I133" s="354">
        <v>4.2</v>
      </c>
      <c r="J133" s="354">
        <v>6.51</v>
      </c>
      <c r="K133" s="354">
        <v>7.7</v>
      </c>
      <c r="L133" s="354">
        <v>8.89</v>
      </c>
      <c r="M133" s="354">
        <v>11.13</v>
      </c>
      <c r="N133" s="354">
        <v>13.72</v>
      </c>
      <c r="O133" s="354">
        <v>16.170000000000002</v>
      </c>
      <c r="P133">
        <f t="shared" si="25"/>
        <v>0</v>
      </c>
      <c r="Q133">
        <f>HLOOKUP($C$16,$C$90:$O$142,44,0)</f>
        <v>7.7</v>
      </c>
      <c r="R133">
        <f t="shared" si="26"/>
        <v>0</v>
      </c>
      <c r="S133">
        <f t="shared" si="27"/>
        <v>0</v>
      </c>
      <c r="T133">
        <f>HLOOKUP($C$16,$C$90:$O$142,44,0)</f>
        <v>7.7</v>
      </c>
      <c r="U133">
        <f t="shared" si="28"/>
        <v>0</v>
      </c>
      <c r="V133" s="96">
        <f t="shared" si="29"/>
        <v>0</v>
      </c>
      <c r="W133" s="96">
        <f>HLOOKUP($G$16,$C$90:$O$142,44,0)</f>
        <v>0</v>
      </c>
      <c r="X133" s="96">
        <f t="shared" si="30"/>
        <v>0</v>
      </c>
      <c r="Y133" s="96">
        <f t="shared" si="31"/>
        <v>0</v>
      </c>
      <c r="Z133" s="96">
        <f>HLOOKUP($C$16,$C$90:$O$142,44,0)</f>
        <v>7.7</v>
      </c>
      <c r="AA133" s="96">
        <f t="shared" si="32"/>
        <v>0</v>
      </c>
    </row>
    <row r="134" spans="1:28" ht="13.8" x14ac:dyDescent="0.25">
      <c r="A134" s="345"/>
      <c r="B134" s="353">
        <v>44</v>
      </c>
      <c r="C134" s="354">
        <v>0.14000000000000001</v>
      </c>
      <c r="D134" s="354">
        <v>0.21</v>
      </c>
      <c r="E134" s="354">
        <v>0.28000000000000003</v>
      </c>
      <c r="F134" s="354">
        <v>0.42</v>
      </c>
      <c r="G134" s="354">
        <v>1.1200000000000001</v>
      </c>
      <c r="H134" s="354">
        <v>2.2400000000000002</v>
      </c>
      <c r="I134" s="354">
        <v>4.0599999999999996</v>
      </c>
      <c r="J134" s="354">
        <v>6.02</v>
      </c>
      <c r="K134" s="354">
        <v>7.14</v>
      </c>
      <c r="L134" s="354">
        <v>8.33</v>
      </c>
      <c r="M134" s="354">
        <v>10.57</v>
      </c>
      <c r="N134" s="354">
        <v>13.3</v>
      </c>
      <c r="O134" s="354">
        <v>15.82</v>
      </c>
      <c r="P134">
        <f t="shared" si="25"/>
        <v>0</v>
      </c>
      <c r="Q134">
        <f>HLOOKUP($C$16,$C$90:$O$142,45,0)</f>
        <v>7.14</v>
      </c>
      <c r="R134">
        <f t="shared" si="26"/>
        <v>0</v>
      </c>
      <c r="S134">
        <f t="shared" si="27"/>
        <v>0</v>
      </c>
      <c r="T134">
        <f>HLOOKUP($C$16,$C$90:$O$142,45,0)</f>
        <v>7.14</v>
      </c>
      <c r="U134">
        <f t="shared" si="28"/>
        <v>0</v>
      </c>
      <c r="V134" s="96">
        <f t="shared" si="29"/>
        <v>0</v>
      </c>
      <c r="W134" s="96">
        <f>HLOOKUP($G$16,$C$90:$O$142,45,0)</f>
        <v>0.14000000000000001</v>
      </c>
      <c r="X134" s="96">
        <f t="shared" si="30"/>
        <v>0</v>
      </c>
      <c r="Y134" s="96">
        <f t="shared" si="31"/>
        <v>0</v>
      </c>
      <c r="Z134" s="96">
        <f>HLOOKUP($C$16,$C$90:$O$142,45,0)</f>
        <v>7.14</v>
      </c>
      <c r="AA134" s="96">
        <f t="shared" si="32"/>
        <v>0</v>
      </c>
    </row>
    <row r="135" spans="1:28" ht="13.8" x14ac:dyDescent="0.25">
      <c r="A135" s="350" t="s">
        <v>552</v>
      </c>
      <c r="B135" s="353">
        <v>45</v>
      </c>
      <c r="C135" s="352">
        <v>0.28000000000000003</v>
      </c>
      <c r="D135" s="352">
        <v>0.7</v>
      </c>
      <c r="E135" s="352">
        <v>0.98</v>
      </c>
      <c r="F135" s="352">
        <v>1.19</v>
      </c>
      <c r="G135" s="352">
        <v>2.52</v>
      </c>
      <c r="H135" s="352">
        <v>4.13</v>
      </c>
      <c r="I135" s="352">
        <v>6.16</v>
      </c>
      <c r="J135" s="352">
        <v>8.26</v>
      </c>
      <c r="K135" s="352">
        <v>9.52</v>
      </c>
      <c r="L135" s="352">
        <v>10.64</v>
      </c>
      <c r="M135" s="352">
        <v>13.16</v>
      </c>
      <c r="N135" s="352">
        <v>15.75</v>
      </c>
      <c r="O135" s="352">
        <v>18.13</v>
      </c>
      <c r="P135">
        <f t="shared" si="25"/>
        <v>0</v>
      </c>
      <c r="Q135">
        <f>HLOOKUP($C$16,$C$90:$O$142,46,0)</f>
        <v>9.52</v>
      </c>
      <c r="R135">
        <f t="shared" si="26"/>
        <v>0</v>
      </c>
      <c r="S135">
        <f t="shared" si="27"/>
        <v>0</v>
      </c>
      <c r="T135">
        <f>HLOOKUP($C$16,$C$90:$O$142,46,0)</f>
        <v>9.52</v>
      </c>
      <c r="U135">
        <f t="shared" si="28"/>
        <v>0</v>
      </c>
      <c r="V135" s="96">
        <f t="shared" si="29"/>
        <v>0</v>
      </c>
      <c r="W135" s="96">
        <f>HLOOKUP($G$16,$C$90:$O$142,46,0)</f>
        <v>0.28000000000000003</v>
      </c>
      <c r="X135" s="96">
        <f t="shared" si="30"/>
        <v>0</v>
      </c>
      <c r="Y135" s="96">
        <f t="shared" si="31"/>
        <v>0</v>
      </c>
      <c r="Z135" s="96">
        <f>HLOOKUP($C$16,$C$90:$O$142,46,0)</f>
        <v>9.52</v>
      </c>
      <c r="AA135" s="96">
        <f t="shared" si="32"/>
        <v>0</v>
      </c>
    </row>
    <row r="136" spans="1:28" ht="13.8" x14ac:dyDescent="0.25">
      <c r="A136" s="345"/>
      <c r="B136" s="353">
        <v>46</v>
      </c>
      <c r="C136" s="354">
        <v>0.35</v>
      </c>
      <c r="D136" s="354">
        <v>0.84</v>
      </c>
      <c r="E136" s="354">
        <v>1.19</v>
      </c>
      <c r="F136" s="354">
        <v>1.75</v>
      </c>
      <c r="G136" s="354">
        <v>3.36</v>
      </c>
      <c r="H136" s="354">
        <v>5.88</v>
      </c>
      <c r="I136" s="354">
        <v>8.19</v>
      </c>
      <c r="J136" s="354">
        <v>10.78</v>
      </c>
      <c r="K136" s="354">
        <v>12.04</v>
      </c>
      <c r="L136" s="354">
        <v>13.16</v>
      </c>
      <c r="M136" s="354">
        <v>15.82</v>
      </c>
      <c r="N136" s="354">
        <v>18.27</v>
      </c>
      <c r="O136" s="354">
        <v>20.72</v>
      </c>
      <c r="P136">
        <f t="shared" si="25"/>
        <v>0</v>
      </c>
      <c r="Q136">
        <f>HLOOKUP($C$16,$C$90:$O$142,47,0)</f>
        <v>12.04</v>
      </c>
      <c r="R136">
        <f t="shared" si="26"/>
        <v>0</v>
      </c>
      <c r="S136">
        <f t="shared" si="27"/>
        <v>0</v>
      </c>
      <c r="T136">
        <f>HLOOKUP($C$16,$C$90:$O$142,47,0)</f>
        <v>12.04</v>
      </c>
      <c r="U136">
        <f t="shared" si="28"/>
        <v>0</v>
      </c>
      <c r="V136" s="96">
        <f t="shared" si="29"/>
        <v>0</v>
      </c>
      <c r="W136" s="96">
        <f>HLOOKUP($G$16,$C$90:$O$142,47,0)</f>
        <v>0.35</v>
      </c>
      <c r="X136" s="96">
        <f t="shared" si="30"/>
        <v>0</v>
      </c>
      <c r="Y136" s="96">
        <f t="shared" si="31"/>
        <v>0</v>
      </c>
      <c r="Z136" s="96">
        <f>HLOOKUP($C$16,$C$90:$O$142,47,0)</f>
        <v>12.04</v>
      </c>
      <c r="AA136" s="96">
        <f t="shared" si="32"/>
        <v>0</v>
      </c>
    </row>
    <row r="137" spans="1:28" ht="13.8" x14ac:dyDescent="0.25">
      <c r="A137" s="345"/>
      <c r="B137" s="353">
        <v>47</v>
      </c>
      <c r="C137" s="354">
        <v>0.42</v>
      </c>
      <c r="D137" s="354">
        <v>1.47</v>
      </c>
      <c r="E137" s="354">
        <v>2.17</v>
      </c>
      <c r="F137" s="354">
        <v>3.01</v>
      </c>
      <c r="G137" s="354">
        <v>5.25</v>
      </c>
      <c r="H137" s="354">
        <v>7.91</v>
      </c>
      <c r="I137" s="354">
        <v>10.29</v>
      </c>
      <c r="J137" s="354">
        <v>12.95</v>
      </c>
      <c r="K137" s="354">
        <v>14.35</v>
      </c>
      <c r="L137" s="354">
        <v>15.54</v>
      </c>
      <c r="M137" s="354">
        <v>18.27</v>
      </c>
      <c r="N137" s="354">
        <v>20.93</v>
      </c>
      <c r="O137" s="354">
        <v>23.66</v>
      </c>
      <c r="P137">
        <f t="shared" si="25"/>
        <v>0</v>
      </c>
      <c r="Q137">
        <f>HLOOKUP($C$16,$C$90:$O$142,48,0)</f>
        <v>14.35</v>
      </c>
      <c r="R137">
        <f t="shared" si="26"/>
        <v>0</v>
      </c>
      <c r="S137">
        <f t="shared" si="27"/>
        <v>0</v>
      </c>
      <c r="T137">
        <f>HLOOKUP($C$16,$C$90:$O$142,48,0)</f>
        <v>14.35</v>
      </c>
      <c r="U137">
        <f t="shared" si="28"/>
        <v>0</v>
      </c>
      <c r="V137" s="96">
        <f t="shared" si="29"/>
        <v>0</v>
      </c>
      <c r="W137" s="96">
        <f>HLOOKUP($G$16,$C$90:$O$142,48,0)</f>
        <v>0.42</v>
      </c>
      <c r="X137" s="96">
        <f t="shared" si="30"/>
        <v>0</v>
      </c>
      <c r="Y137" s="96">
        <f t="shared" si="31"/>
        <v>0</v>
      </c>
      <c r="Z137" s="96">
        <f>HLOOKUP($C$16,$C$90:$O$142,48,0)</f>
        <v>14.35</v>
      </c>
      <c r="AA137" s="96">
        <f t="shared" si="32"/>
        <v>0</v>
      </c>
    </row>
    <row r="138" spans="1:28" ht="13.8" x14ac:dyDescent="0.25">
      <c r="A138" s="345"/>
      <c r="B138" s="353">
        <v>48</v>
      </c>
      <c r="C138" s="354">
        <v>0.42</v>
      </c>
      <c r="D138" s="354">
        <v>1.05</v>
      </c>
      <c r="E138" s="354">
        <v>1.61</v>
      </c>
      <c r="F138" s="354">
        <v>2.52</v>
      </c>
      <c r="G138" s="354">
        <v>4.55</v>
      </c>
      <c r="H138" s="354">
        <v>6.93</v>
      </c>
      <c r="I138" s="354">
        <v>9.4499999999999993</v>
      </c>
      <c r="J138" s="354">
        <v>12.11</v>
      </c>
      <c r="K138" s="354">
        <v>13.44</v>
      </c>
      <c r="L138" s="354">
        <v>14.7</v>
      </c>
      <c r="M138" s="354">
        <v>17.29</v>
      </c>
      <c r="N138" s="354">
        <v>19.88</v>
      </c>
      <c r="O138" s="354">
        <v>22.68</v>
      </c>
      <c r="P138">
        <f t="shared" si="25"/>
        <v>0</v>
      </c>
      <c r="Q138">
        <f>HLOOKUP($C$16,$C$90:$O$142,49,0)</f>
        <v>13.44</v>
      </c>
      <c r="R138">
        <f t="shared" si="26"/>
        <v>0</v>
      </c>
      <c r="S138">
        <f t="shared" si="27"/>
        <v>0</v>
      </c>
      <c r="T138">
        <f>HLOOKUP($C$16,$C$90:$O$142,49,0)</f>
        <v>13.44</v>
      </c>
      <c r="U138">
        <f t="shared" si="28"/>
        <v>0</v>
      </c>
      <c r="V138" s="96">
        <f t="shared" si="29"/>
        <v>0</v>
      </c>
      <c r="W138" s="96">
        <f>HLOOKUP($G$16,$C$90:$O$142,49,0)</f>
        <v>0.42</v>
      </c>
      <c r="X138" s="96">
        <f t="shared" si="30"/>
        <v>0</v>
      </c>
      <c r="Y138" s="96">
        <f t="shared" si="31"/>
        <v>0</v>
      </c>
      <c r="Z138" s="96">
        <f>HLOOKUP($C$16,$C$90:$O$142,49,0)</f>
        <v>13.44</v>
      </c>
      <c r="AA138" s="96">
        <f t="shared" si="32"/>
        <v>0</v>
      </c>
    </row>
    <row r="139" spans="1:28" ht="13.8" x14ac:dyDescent="0.25">
      <c r="A139" s="350" t="s">
        <v>553</v>
      </c>
      <c r="B139" s="353">
        <v>49</v>
      </c>
      <c r="C139" s="352">
        <v>1.1200000000000001</v>
      </c>
      <c r="D139" s="352">
        <v>2.1</v>
      </c>
      <c r="E139" s="352">
        <v>2.87</v>
      </c>
      <c r="F139" s="352">
        <v>3.92</v>
      </c>
      <c r="G139" s="352">
        <v>6.3</v>
      </c>
      <c r="H139" s="352">
        <v>9.0299999999999994</v>
      </c>
      <c r="I139" s="352">
        <v>11.55</v>
      </c>
      <c r="J139" s="352">
        <v>14.35</v>
      </c>
      <c r="K139" s="352">
        <v>15.61</v>
      </c>
      <c r="L139" s="352">
        <v>16.87</v>
      </c>
      <c r="M139" s="352">
        <v>19.670000000000002</v>
      </c>
      <c r="N139" s="352">
        <v>22.19</v>
      </c>
      <c r="O139" s="352">
        <v>25.2</v>
      </c>
      <c r="P139">
        <f t="shared" si="25"/>
        <v>0</v>
      </c>
      <c r="Q139">
        <f>HLOOKUP($C$16,$C$90:$O$142,50,0)</f>
        <v>15.61</v>
      </c>
      <c r="R139">
        <f t="shared" si="26"/>
        <v>0</v>
      </c>
      <c r="S139">
        <f t="shared" si="27"/>
        <v>0</v>
      </c>
      <c r="T139">
        <f>HLOOKUP($C$16,$C$90:$O$142,50,0)</f>
        <v>15.61</v>
      </c>
      <c r="U139">
        <f t="shared" si="28"/>
        <v>0</v>
      </c>
      <c r="V139" s="96">
        <f t="shared" si="29"/>
        <v>0</v>
      </c>
      <c r="W139" s="96">
        <f>HLOOKUP($G$16,$C$90:$O$142,50,0)</f>
        <v>1.1200000000000001</v>
      </c>
      <c r="X139" s="96">
        <f t="shared" si="30"/>
        <v>0</v>
      </c>
      <c r="Y139" s="96">
        <f t="shared" si="31"/>
        <v>0</v>
      </c>
      <c r="Z139" s="96">
        <f>HLOOKUP($C$16,$C$90:$O$142,50,0)</f>
        <v>15.61</v>
      </c>
      <c r="AA139" s="96">
        <f t="shared" si="32"/>
        <v>0</v>
      </c>
    </row>
    <row r="140" spans="1:28" ht="13.8" x14ac:dyDescent="0.25">
      <c r="A140" s="345"/>
      <c r="B140" s="353">
        <v>50</v>
      </c>
      <c r="C140" s="354">
        <v>2.1</v>
      </c>
      <c r="D140" s="354">
        <v>4.2</v>
      </c>
      <c r="E140" s="354">
        <v>5.25</v>
      </c>
      <c r="F140" s="354">
        <v>6.65</v>
      </c>
      <c r="G140" s="354">
        <v>9.4499999999999993</v>
      </c>
      <c r="H140" s="354">
        <v>12.11</v>
      </c>
      <c r="I140" s="354">
        <v>14.84</v>
      </c>
      <c r="J140" s="354">
        <v>17.64</v>
      </c>
      <c r="K140" s="354">
        <v>18.899999999999999</v>
      </c>
      <c r="L140" s="354">
        <v>20.3</v>
      </c>
      <c r="M140" s="354">
        <v>23.03</v>
      </c>
      <c r="N140" s="354">
        <v>25.62</v>
      </c>
      <c r="O140" s="354">
        <v>28.42</v>
      </c>
      <c r="P140">
        <f t="shared" si="25"/>
        <v>0</v>
      </c>
      <c r="Q140">
        <f>HLOOKUP($C$16,$C$90:$O$142,51,0)</f>
        <v>18.899999999999999</v>
      </c>
      <c r="R140">
        <f t="shared" si="26"/>
        <v>0</v>
      </c>
      <c r="S140">
        <f t="shared" si="27"/>
        <v>0</v>
      </c>
      <c r="T140">
        <f>HLOOKUP($C$16,$C$90:$O$142,51,0)</f>
        <v>18.899999999999999</v>
      </c>
      <c r="U140">
        <f t="shared" si="28"/>
        <v>0</v>
      </c>
      <c r="V140" s="96">
        <f t="shared" si="29"/>
        <v>0</v>
      </c>
      <c r="W140" s="96">
        <f>HLOOKUP($G$16,$C$90:$O$142,51,0)</f>
        <v>2.1</v>
      </c>
      <c r="X140" s="96">
        <f t="shared" si="30"/>
        <v>0</v>
      </c>
      <c r="Y140" s="96">
        <f t="shared" si="31"/>
        <v>0</v>
      </c>
      <c r="Z140" s="96">
        <f>HLOOKUP($C$16,$C$90:$O$142,51,0)</f>
        <v>18.899999999999999</v>
      </c>
      <c r="AA140" s="96">
        <f t="shared" si="32"/>
        <v>0</v>
      </c>
    </row>
    <row r="141" spans="1:28" ht="13.8" x14ac:dyDescent="0.25">
      <c r="A141" s="345"/>
      <c r="B141" s="353">
        <v>51</v>
      </c>
      <c r="C141" s="354">
        <v>2.59</v>
      </c>
      <c r="D141" s="354">
        <v>4.13</v>
      </c>
      <c r="E141" s="354">
        <v>5.25</v>
      </c>
      <c r="F141" s="354">
        <v>6.51</v>
      </c>
      <c r="G141" s="354">
        <v>9.31</v>
      </c>
      <c r="H141" s="354">
        <v>11.9</v>
      </c>
      <c r="I141" s="354">
        <v>14.56</v>
      </c>
      <c r="J141" s="354">
        <v>17.36</v>
      </c>
      <c r="K141" s="354">
        <v>18.62</v>
      </c>
      <c r="L141" s="354">
        <v>19.95</v>
      </c>
      <c r="M141" s="354">
        <v>22.61</v>
      </c>
      <c r="N141" s="354">
        <v>25.2</v>
      </c>
      <c r="O141" s="354">
        <v>27.93</v>
      </c>
      <c r="P141">
        <f t="shared" si="25"/>
        <v>0</v>
      </c>
      <c r="Q141">
        <f>HLOOKUP($C$16,$C$90:$O$142,52,0)</f>
        <v>18.62</v>
      </c>
      <c r="R141">
        <f t="shared" si="26"/>
        <v>0</v>
      </c>
      <c r="S141">
        <f t="shared" si="27"/>
        <v>0</v>
      </c>
      <c r="T141">
        <f>HLOOKUP($C$16,$C$90:$O$142,52,0)</f>
        <v>18.62</v>
      </c>
      <c r="U141">
        <f t="shared" si="28"/>
        <v>0</v>
      </c>
      <c r="V141" s="96">
        <f t="shared" si="29"/>
        <v>0</v>
      </c>
      <c r="W141" s="96">
        <f>HLOOKUP($G$16,$C$90:$O$142,52,0)</f>
        <v>2.59</v>
      </c>
      <c r="X141" s="96">
        <f t="shared" si="30"/>
        <v>0</v>
      </c>
      <c r="Y141" s="96">
        <f t="shared" si="31"/>
        <v>0</v>
      </c>
      <c r="Z141" s="96">
        <f>HLOOKUP($C$16,$C$90:$O$142,52,0)</f>
        <v>18.62</v>
      </c>
      <c r="AA141" s="96">
        <f t="shared" si="32"/>
        <v>0</v>
      </c>
    </row>
    <row r="142" spans="1:28" ht="14.4" thickBot="1" x14ac:dyDescent="0.3">
      <c r="A142" s="359"/>
      <c r="B142" s="353">
        <v>52</v>
      </c>
      <c r="C142" s="361">
        <v>2.4500000000000002</v>
      </c>
      <c r="D142" s="361">
        <v>4.2</v>
      </c>
      <c r="E142" s="361">
        <v>4.83</v>
      </c>
      <c r="F142" s="361">
        <v>6.16</v>
      </c>
      <c r="G142" s="361">
        <v>8.68</v>
      </c>
      <c r="H142" s="361">
        <v>11.13</v>
      </c>
      <c r="I142" s="361">
        <v>13.79</v>
      </c>
      <c r="J142" s="361">
        <v>16.66</v>
      </c>
      <c r="K142" s="361">
        <v>17.850000000000001</v>
      </c>
      <c r="L142" s="361">
        <v>19.11</v>
      </c>
      <c r="M142" s="361">
        <v>21.56</v>
      </c>
      <c r="N142" s="361">
        <v>24.92</v>
      </c>
      <c r="O142" s="361">
        <v>27.16</v>
      </c>
      <c r="P142">
        <f t="shared" si="25"/>
        <v>0</v>
      </c>
      <c r="Q142">
        <f>HLOOKUP($C$16,$C$90:$O$142,53,0)</f>
        <v>17.850000000000001</v>
      </c>
      <c r="R142">
        <f t="shared" si="26"/>
        <v>0</v>
      </c>
      <c r="S142">
        <f t="shared" si="27"/>
        <v>0</v>
      </c>
      <c r="T142">
        <f>HLOOKUP($C$16,$C$90:$O$142,53,0)</f>
        <v>17.850000000000001</v>
      </c>
      <c r="U142">
        <f t="shared" si="28"/>
        <v>0</v>
      </c>
      <c r="V142" s="96">
        <f t="shared" si="29"/>
        <v>0</v>
      </c>
      <c r="W142" s="96">
        <f>HLOOKUP($G$16,$C$90:$O$142,53,0)</f>
        <v>2.4500000000000002</v>
      </c>
      <c r="X142" s="96">
        <f t="shared" si="30"/>
        <v>0</v>
      </c>
      <c r="Y142" s="96">
        <f t="shared" si="31"/>
        <v>0</v>
      </c>
      <c r="Z142" s="96">
        <f>HLOOKUP($C$16,$C$90:$O$142,53,0)</f>
        <v>17.850000000000001</v>
      </c>
      <c r="AA142" s="96">
        <f t="shared" si="32"/>
        <v>0</v>
      </c>
    </row>
    <row r="143" spans="1:28" ht="14.4" thickTop="1" x14ac:dyDescent="0.25">
      <c r="A143" t="s">
        <v>86</v>
      </c>
      <c r="C143">
        <f t="shared" ref="C143:O143" si="33">SUM(C91:C142)</f>
        <v>26.88000000000001</v>
      </c>
      <c r="D143">
        <f t="shared" si="33"/>
        <v>51.100000000000009</v>
      </c>
      <c r="E143">
        <f t="shared" si="33"/>
        <v>66.779999999999987</v>
      </c>
      <c r="F143">
        <f t="shared" si="33"/>
        <v>86.31</v>
      </c>
      <c r="G143">
        <f t="shared" si="33"/>
        <v>134.74999999999997</v>
      </c>
      <c r="H143">
        <f t="shared" si="33"/>
        <v>191.51999999999995</v>
      </c>
      <c r="I143">
        <f t="shared" si="33"/>
        <v>257.95</v>
      </c>
      <c r="J143">
        <f t="shared" si="33"/>
        <v>331.52</v>
      </c>
      <c r="K143">
        <f t="shared" si="33"/>
        <v>371.15</v>
      </c>
      <c r="L143">
        <f t="shared" si="33"/>
        <v>412.3</v>
      </c>
      <c r="M143">
        <f t="shared" si="33"/>
        <v>501.96999999999997</v>
      </c>
      <c r="N143">
        <f t="shared" si="33"/>
        <v>600.67000000000007</v>
      </c>
      <c r="O143">
        <f t="shared" si="33"/>
        <v>703.22</v>
      </c>
      <c r="R143">
        <f>SUM(R91:R142)</f>
        <v>6.02</v>
      </c>
      <c r="U143">
        <f>SUM(U91:U142)</f>
        <v>0</v>
      </c>
      <c r="X143" s="96">
        <f>SUM(X91:X142)</f>
        <v>0</v>
      </c>
      <c r="AA143" s="96">
        <f>SUM(AA91:AA142)</f>
        <v>0</v>
      </c>
      <c r="AB143">
        <f>SUM(R143:AA143)</f>
        <v>6.02</v>
      </c>
    </row>
    <row r="144" spans="1:28" ht="13.8" x14ac:dyDescent="0.25">
      <c r="G144" t="s">
        <v>517</v>
      </c>
      <c r="I144" t="s">
        <v>518</v>
      </c>
      <c r="K144" t="s">
        <v>519</v>
      </c>
      <c r="M144" t="s">
        <v>520</v>
      </c>
    </row>
    <row r="145" spans="1:14" ht="39.6" x14ac:dyDescent="0.25">
      <c r="A145" s="363" t="s">
        <v>555</v>
      </c>
      <c r="C145" s="204"/>
      <c r="D145" s="362" t="s">
        <v>556</v>
      </c>
      <c r="E145" s="362" t="s">
        <v>557</v>
      </c>
      <c r="F145" s="362" t="s">
        <v>558</v>
      </c>
      <c r="G145" s="364" t="s">
        <v>559</v>
      </c>
      <c r="H145" s="364" t="s">
        <v>560</v>
      </c>
      <c r="I145" s="364" t="s">
        <v>559</v>
      </c>
      <c r="J145" s="364" t="s">
        <v>560</v>
      </c>
      <c r="K145" s="364" t="s">
        <v>559</v>
      </c>
      <c r="L145" s="364" t="s">
        <v>560</v>
      </c>
      <c r="M145" s="364" t="s">
        <v>559</v>
      </c>
      <c r="N145" s="364" t="s">
        <v>560</v>
      </c>
    </row>
    <row r="146" spans="1:14" ht="13.8" x14ac:dyDescent="0.25">
      <c r="A146" s="365" t="s">
        <v>510</v>
      </c>
      <c r="D146" s="366">
        <v>10</v>
      </c>
      <c r="E146" s="366">
        <v>20</v>
      </c>
      <c r="F146" s="366"/>
    </row>
    <row r="147" spans="1:14" ht="13.8" x14ac:dyDescent="0.25">
      <c r="A147" s="367" t="s">
        <v>561</v>
      </c>
      <c r="D147" s="366">
        <v>1.1499999999999999</v>
      </c>
      <c r="E147" s="366">
        <v>0.99</v>
      </c>
      <c r="F147" s="366">
        <v>0.96</v>
      </c>
      <c r="G147">
        <f>IF($C$15&lt;$D$146,VLOOKUP($C$4,$A$147:$F$155,4,0),IF(AND($C$15&lt;=$E$146,$C$15&gt;=$D$146),VLOOKUP($C$4,$A$147:$F$155,5,0),VLOOKUP($C$4,$A$147:$F$155,6,0)))</f>
        <v>1</v>
      </c>
      <c r="H147">
        <f>IF($C$16&lt;$D$146,VLOOKUP($C$4,$A$147:$F$155,4,0),IF(AND($C$16&lt;=$E$146,$C$16&gt;=$D$146),VLOOKUP($C$4,$A$147:$F$155,5,0),VLOOKUP($C$4,$A$147:$F$155,6,0)))</f>
        <v>1</v>
      </c>
      <c r="I147">
        <f>IF($E$15&lt;$D$146,VLOOKUP($C$4,$A$147:$F$155,4,0),IF(AND($E$15&lt;=$E$146,$E$15&gt;=$D$146),VLOOKUP($C$4,$A$147:$F$155,5,0),VLOOKUP($C$4,$A$147:$F$155,6,0)))</f>
        <v>1</v>
      </c>
      <c r="J147">
        <f>IF($E$16&lt;$D$146,VLOOKUP($C$4,$A$147:$F$155,4,0),IF(AND($E$16&lt;=$E$146,$E$16&gt;=$D$146),VLOOKUP($C$4,$A$147:$F$155,5,0),VLOOKUP($C$4,$A$147:$F$155,6,0)))</f>
        <v>1</v>
      </c>
      <c r="K147">
        <f>IF($G$15&lt;$D$146,VLOOKUP($C$4,$A$147:$F$155,4,0),IF(AND($G$15&lt;=$E$146,$G$15&gt;=$D$146),VLOOKUP($C$4,$A$147:$F$155,5,0),VLOOKUP($C$4,$A$147:$F$155,6,0)))</f>
        <v>1</v>
      </c>
      <c r="L147">
        <f>IF($G$16&lt;$D$146,VLOOKUP($C$4,$A$147:$F$155,4,0),IF(AND($G$16&lt;=$E$146,$G$16&gt;=$D$146),VLOOKUP($C$4,$A$147:$F$155,5,0),VLOOKUP($C$4,$A$147:$F$155,6,0)))</f>
        <v>1</v>
      </c>
      <c r="M147">
        <f>IF($I$15&lt;$D$146,VLOOKUP($C$4,$A$147:$F$155,4,0),IF(AND($I$15&lt;=$E$146,$I$15&gt;=$D$146),VLOOKUP($C$4,$A$147:$F$155,5,0),VLOOKUP($C$4,$A$147:$F$155,6,0)))</f>
        <v>1</v>
      </c>
      <c r="N147">
        <f>IF($I$16&lt;$D$146,VLOOKUP($C$4,$A$147:$F$155,4,0),IF(AND($I$16&lt;=$E$146,$I$16&gt;=$D$146),VLOOKUP($C$4,$A$147:$F$155,5,0),VLOOKUP($C$4,$A$147:$F$155,6,0)))</f>
        <v>1</v>
      </c>
    </row>
    <row r="148" spans="1:14" ht="13.8" x14ac:dyDescent="0.25">
      <c r="A148" s="367" t="s">
        <v>562</v>
      </c>
      <c r="D148" s="366">
        <v>0.66</v>
      </c>
      <c r="E148" s="366">
        <v>0.82</v>
      </c>
      <c r="F148" s="366">
        <v>0.89</v>
      </c>
    </row>
    <row r="149" spans="1:14" ht="13.8" x14ac:dyDescent="0.25">
      <c r="A149" s="367" t="s">
        <v>563</v>
      </c>
      <c r="D149" s="366">
        <v>1.3</v>
      </c>
      <c r="E149" s="366">
        <v>1.03</v>
      </c>
      <c r="F149" s="366">
        <v>0.97</v>
      </c>
    </row>
    <row r="150" spans="1:14" ht="13.8" x14ac:dyDescent="0.25">
      <c r="A150" s="367" t="s">
        <v>564</v>
      </c>
      <c r="D150" s="366">
        <v>0.71</v>
      </c>
      <c r="E150" s="366">
        <v>0.77</v>
      </c>
      <c r="F150" s="366">
        <v>0.84</v>
      </c>
    </row>
    <row r="151" spans="1:14" ht="13.8" x14ac:dyDescent="0.25">
      <c r="A151" s="367" t="s">
        <v>511</v>
      </c>
      <c r="D151" s="366">
        <v>1</v>
      </c>
      <c r="E151" s="366">
        <v>1</v>
      </c>
      <c r="F151" s="366">
        <v>1</v>
      </c>
    </row>
    <row r="152" spans="1:14" ht="13.8" x14ac:dyDescent="0.25">
      <c r="A152" s="367" t="s">
        <v>565</v>
      </c>
      <c r="D152" s="366">
        <v>1.1599999999999999</v>
      </c>
      <c r="E152" s="366">
        <v>0.97</v>
      </c>
      <c r="F152" s="366">
        <v>0.94</v>
      </c>
    </row>
    <row r="153" spans="1:14" ht="13.8" x14ac:dyDescent="0.25">
      <c r="A153" s="367" t="s">
        <v>566</v>
      </c>
      <c r="D153" s="366">
        <v>0.94</v>
      </c>
      <c r="E153" s="366">
        <v>0.95</v>
      </c>
      <c r="F153" s="366">
        <v>0.96</v>
      </c>
    </row>
    <row r="154" spans="1:14" ht="13.8" x14ac:dyDescent="0.25">
      <c r="A154" s="367" t="s">
        <v>567</v>
      </c>
      <c r="D154" s="366">
        <v>1.1499999999999999</v>
      </c>
      <c r="E154" s="366">
        <v>1.01</v>
      </c>
      <c r="F154" s="366">
        <v>0.99</v>
      </c>
    </row>
    <row r="155" spans="1:14" ht="13.8" x14ac:dyDescent="0.25">
      <c r="A155" s="367" t="s">
        <v>568</v>
      </c>
      <c r="D155" s="366">
        <v>1.1100000000000001</v>
      </c>
      <c r="E155" s="366">
        <v>0.94</v>
      </c>
      <c r="F155" s="366">
        <v>0.93</v>
      </c>
    </row>
    <row r="156" spans="1:14" ht="13.8" x14ac:dyDescent="0.25">
      <c r="A156" s="365" t="s">
        <v>512</v>
      </c>
      <c r="D156" s="366"/>
      <c r="E156" s="366"/>
      <c r="F156" s="366"/>
    </row>
    <row r="157" spans="1:14" ht="13.8" x14ac:dyDescent="0.25">
      <c r="A157" s="367" t="s">
        <v>569</v>
      </c>
      <c r="D157" s="366">
        <v>1</v>
      </c>
      <c r="E157" s="366">
        <v>1</v>
      </c>
      <c r="F157" s="366">
        <v>1</v>
      </c>
      <c r="G157" s="254">
        <f>IF($C$15&lt;$D$146,VLOOKUP($C$5,$A$157:$F$162,4,0),IF(AND($C$15&lt;=$E$146,$C$15&gt;=$D$146),VLOOKUP($C$5,$A$157:$F$162,5,0),VLOOKUP($C$5,$A$157:$F$162,6,0)))</f>
        <v>0.64</v>
      </c>
      <c r="H157" s="254">
        <f>IF($C$16&lt;$D$146,VLOOKUP($C$5,$A$157:$F$162,4,0),IF(AND($C$16&lt;=$E$146,$C$16&gt;=$D$146),VLOOKUP($C$5,$A$157:$F$162,5,0),VLOOKUP($C$5,$A$157:$F$162,6,0)))</f>
        <v>0.64</v>
      </c>
      <c r="I157" s="254">
        <f>IF($E$15&lt;$D$146,VLOOKUP($C$5,$A$157:$F$162,4,0),IF(AND($E$15&lt;=$E$146,$E$15&gt;=$D$146),VLOOKUP($C$5,$A$157:$F$162,5,0),VLOOKUP($C$5,$A$157:$F$162,6,0)))</f>
        <v>0.61</v>
      </c>
      <c r="J157" s="254">
        <f>IF($E$16&lt;$D$146,VLOOKUP($C$5,$A$157:$F$162,4,0),IF(AND($E$16&lt;=$E$146,$E$16&gt;=$D$146),VLOOKUP($C$5,$A$157:$F$162,5,0),VLOOKUP($C$5,$A$157:$F$162,6,0)))</f>
        <v>0.61</v>
      </c>
      <c r="K157" s="254">
        <f>IF($G$15&lt;$D$146,VLOOKUP($C$5,$A$157:$F$162,4,0),IF(AND($G$15&lt;=$E$146,$G$15&gt;=$D$146),VLOOKUP($C$5,$A$157:$F$162,5,0),VLOOKUP($C$5,$A$157:$F$162,6,0)))</f>
        <v>0.61</v>
      </c>
      <c r="L157" s="254">
        <f>IF($G$16&lt;$D$146,VLOOKUP($C$5,$A$157:$F$162,4,0),IF(AND($G$16&lt;=$E$146,$G$16&gt;=$D$146),VLOOKUP($C$5,$A$157:$F$162,5,0),VLOOKUP($C$5,$A$157:$F$162,6,0)))</f>
        <v>0.61</v>
      </c>
      <c r="M157" s="254">
        <f>IF($I$15&lt;$D$146,VLOOKUP($C$5,$A$157:$F$162,4,0),IF(AND($I$15&lt;=$E$146,$I$15&gt;=$D$146),VLOOKUP($C$5,$A$157:$F$162,5,0),VLOOKUP($C$5,$A$157:$F$162,6,0)))</f>
        <v>0.61</v>
      </c>
      <c r="N157" s="254">
        <f>IF($I$16&lt;$D$146,VLOOKUP($C$5,$A$157:$F$162,4,0),IF(AND($I$16&lt;=$E$146,$I$16&gt;=$D$146),VLOOKUP($C$5,$A$157:$F$162,5,0),VLOOKUP($C$5,$A$157:$F$162,6,0)))</f>
        <v>0.61</v>
      </c>
    </row>
    <row r="158" spans="1:14" ht="13.8" x14ac:dyDescent="0.25">
      <c r="A158" s="367" t="s">
        <v>513</v>
      </c>
      <c r="D158" s="366">
        <v>0.61</v>
      </c>
      <c r="E158" s="366">
        <v>0.64</v>
      </c>
      <c r="F158" s="366">
        <v>0.67</v>
      </c>
    </row>
    <row r="159" spans="1:14" ht="13.8" x14ac:dyDescent="0.25">
      <c r="A159" s="367" t="s">
        <v>570</v>
      </c>
      <c r="D159" s="366">
        <v>0.5</v>
      </c>
      <c r="E159" s="366">
        <v>0.55000000000000004</v>
      </c>
      <c r="F159" s="366">
        <v>0.57999999999999996</v>
      </c>
    </row>
    <row r="160" spans="1:14" ht="13.8" x14ac:dyDescent="0.25">
      <c r="A160" s="367" t="s">
        <v>571</v>
      </c>
      <c r="D160" s="366">
        <v>0.91</v>
      </c>
      <c r="E160" s="366">
        <v>0.92</v>
      </c>
      <c r="F160" s="366">
        <v>0.93</v>
      </c>
    </row>
    <row r="161" spans="1:14" ht="13.8" x14ac:dyDescent="0.25">
      <c r="A161" s="367" t="s">
        <v>572</v>
      </c>
      <c r="D161" s="366">
        <v>0.89</v>
      </c>
      <c r="E161" s="366">
        <v>0.9</v>
      </c>
      <c r="F161" s="366">
        <v>0.9</v>
      </c>
    </row>
    <row r="162" spans="1:14" ht="13.8" x14ac:dyDescent="0.25">
      <c r="A162" s="367" t="s">
        <v>573</v>
      </c>
      <c r="D162" s="366">
        <v>0.56000000000000005</v>
      </c>
      <c r="E162" s="366">
        <v>0.57999999999999996</v>
      </c>
      <c r="F162" s="366">
        <v>0.59</v>
      </c>
    </row>
    <row r="163" spans="1:14" ht="13.8" x14ac:dyDescent="0.25">
      <c r="A163" s="365" t="s">
        <v>574</v>
      </c>
      <c r="D163" s="366"/>
      <c r="E163" s="366"/>
      <c r="F163" s="366"/>
    </row>
    <row r="164" spans="1:14" ht="13.8" x14ac:dyDescent="0.25">
      <c r="A164" s="368">
        <v>1000</v>
      </c>
      <c r="D164" s="366">
        <v>1.3</v>
      </c>
      <c r="E164" s="366">
        <v>1.26</v>
      </c>
      <c r="F164" s="366">
        <v>1.25</v>
      </c>
      <c r="G164">
        <f>IF($C$15&lt;$D$146,VLOOKUP($D$3,$A$164:$F$166,4,0),IF(AND($C$15&lt;=$E$146,$C$15&gt;=$D$146),VLOOKUP($D$3,$A$164:$F$166,5,0),VLOOKUP($D$3,$A$164:$F$166,6,0)))</f>
        <v>1</v>
      </c>
      <c r="H164">
        <f>IF($C$16&lt;$D$146,VLOOKUP($D$3,$A$164:$F$166,4,0),IF(AND($C$16&lt;=$E$146,$C$16&gt;=$D$146),VLOOKUP($D$3,$A$164:$F$166,5,0),VLOOKUP($D$3,$A$164:$F$166,6,0)))</f>
        <v>1</v>
      </c>
      <c r="I164">
        <f>IF($E$15&lt;$D$146,VLOOKUP($D$3,$A$164:$F$166,4,0),IF(AND($E$15&lt;=$E$146,$E$15&gt;=$D$146),VLOOKUP($D$3,$A$164:$F$166,5,0),VLOOKUP($D$3,$A$164:$F$166,6,0)))</f>
        <v>1</v>
      </c>
      <c r="J164">
        <f>IF($E$16&lt;$D$146,VLOOKUP($D$3,$A$164:$F$166,4,0),IF(AND($E$16&lt;=$E$146,$E$16&gt;=$D$146),VLOOKUP($D$3,$A$164:$F$166,5,0),VLOOKUP($D$3,$A$164:$F$166,6,0)))</f>
        <v>1</v>
      </c>
      <c r="K164">
        <f>IF($G$15&lt;$D$146,VLOOKUP($D$3,$A$164:$F$166,4,0),IF(AND($G$15&lt;=$E$146,$G$15&gt;=$D$146),VLOOKUP($D$3,$A$164:$F$166,5,0),VLOOKUP($D$3,$A$164:$F$166,6,0)))</f>
        <v>1</v>
      </c>
      <c r="L164">
        <f>IF($G$16&lt;$D$146,VLOOKUP($D$3,$A$164:$F$166,4,0),IF(AND($G$16&lt;=$E$146,$G$16&gt;=$D$146),VLOOKUP($D$3,$A$164:$F$166,5,0),VLOOKUP($D$3,$A$164:$F$166,6,0)))</f>
        <v>1</v>
      </c>
      <c r="M164">
        <f>IF($I$15&lt;$D$146,VLOOKUP($D$3,$A$164:$F$166,4,0),IF(AND($I$15&lt;=$E$146,$I$15&gt;=$D$146),VLOOKUP($D$3,$A$164:$F$166,5,0),VLOOKUP($D$3,$A$164:$F$166,6,0)))</f>
        <v>1</v>
      </c>
      <c r="N164">
        <f>IF($I$16&lt;$D$146,VLOOKUP($D$3,$A$164:$F$166,4,0),IF(AND($I$16&lt;=$E$146,$I$16&gt;=$D$146),VLOOKUP($D$3,$A$164:$F$166,5,0),VLOOKUP($D$3,$A$164:$F$166,6,0)))</f>
        <v>1</v>
      </c>
    </row>
    <row r="165" spans="1:14" ht="13.8" x14ac:dyDescent="0.25">
      <c r="A165" s="368">
        <v>5000</v>
      </c>
      <c r="D165" s="366">
        <v>1</v>
      </c>
      <c r="E165" s="366">
        <v>1</v>
      </c>
      <c r="F165" s="366">
        <v>1</v>
      </c>
    </row>
    <row r="166" spans="1:14" ht="13.8" x14ac:dyDescent="0.25">
      <c r="A166" s="368">
        <v>10000</v>
      </c>
      <c r="D166" s="366">
        <v>0.93</v>
      </c>
      <c r="E166" s="366">
        <v>0.94</v>
      </c>
      <c r="F166" s="366">
        <v>0.94</v>
      </c>
    </row>
    <row r="167" spans="1:14" ht="13.8" x14ac:dyDescent="0.25">
      <c r="A167" t="s">
        <v>575</v>
      </c>
      <c r="G167">
        <f t="shared" ref="G167:N167" si="34">G147*G157*G164</f>
        <v>0.64</v>
      </c>
      <c r="H167">
        <f t="shared" si="34"/>
        <v>0.64</v>
      </c>
      <c r="I167">
        <f t="shared" si="34"/>
        <v>0.61</v>
      </c>
      <c r="J167">
        <f t="shared" si="34"/>
        <v>0.61</v>
      </c>
      <c r="K167">
        <f t="shared" si="34"/>
        <v>0.61</v>
      </c>
      <c r="L167">
        <f t="shared" si="34"/>
        <v>0.61</v>
      </c>
      <c r="M167">
        <f t="shared" si="34"/>
        <v>0.61</v>
      </c>
      <c r="N167">
        <f t="shared" si="34"/>
        <v>0.61</v>
      </c>
    </row>
    <row r="168" spans="1:14" ht="15.6" x14ac:dyDescent="0.25">
      <c r="A168" s="363" t="s">
        <v>576</v>
      </c>
      <c r="B168" s="363"/>
      <c r="C168" s="363"/>
    </row>
    <row r="169" spans="1:14" ht="13.8" x14ac:dyDescent="0.25">
      <c r="A169" s="366"/>
      <c r="E169" s="366" t="s">
        <v>577</v>
      </c>
      <c r="F169" s="366" t="s">
        <v>578</v>
      </c>
    </row>
    <row r="170" spans="1:14" ht="13.8" x14ac:dyDescent="0.25">
      <c r="A170" s="367" t="s">
        <v>515</v>
      </c>
      <c r="E170" s="366">
        <v>9.8000000000000004E-2</v>
      </c>
      <c r="F170" s="366" t="s">
        <v>579</v>
      </c>
    </row>
    <row r="171" spans="1:14" ht="13.8" x14ac:dyDescent="0.25">
      <c r="A171" s="367" t="s">
        <v>580</v>
      </c>
      <c r="E171" s="366">
        <v>8.6999999999999994E-2</v>
      </c>
      <c r="F171" s="366" t="s">
        <v>581</v>
      </c>
    </row>
    <row r="172" spans="1:14" ht="13.8" x14ac:dyDescent="0.25">
      <c r="A172" s="367" t="s">
        <v>582</v>
      </c>
      <c r="E172" s="366">
        <v>0.111</v>
      </c>
      <c r="F172" s="366" t="s">
        <v>583</v>
      </c>
    </row>
    <row r="173" spans="1:14" ht="13.8" x14ac:dyDescent="0.25">
      <c r="A173" s="367" t="s">
        <v>584</v>
      </c>
      <c r="E173" s="366">
        <v>9.0999999999999998E-2</v>
      </c>
      <c r="F173" s="366" t="s">
        <v>583</v>
      </c>
    </row>
    <row r="174" spans="1:14" ht="13.8" x14ac:dyDescent="0.25">
      <c r="A174" s="367" t="s">
        <v>585</v>
      </c>
      <c r="E174" s="366">
        <v>7.6999999999999999E-2</v>
      </c>
      <c r="F174" s="366" t="s">
        <v>581</v>
      </c>
    </row>
    <row r="175" spans="1:14" ht="13.8" x14ac:dyDescent="0.25">
      <c r="A175" s="367" t="s">
        <v>586</v>
      </c>
      <c r="E175" s="366">
        <v>7.8E-2</v>
      </c>
      <c r="F175" s="366" t="s">
        <v>581</v>
      </c>
    </row>
    <row r="176" spans="1:14" ht="13.8" x14ac:dyDescent="0.25">
      <c r="A176" s="367" t="s">
        <v>587</v>
      </c>
      <c r="E176" s="366">
        <v>0.11</v>
      </c>
      <c r="F176" s="366" t="s">
        <v>581</v>
      </c>
    </row>
    <row r="177" spans="1:6" ht="13.8" x14ac:dyDescent="0.25">
      <c r="A177" s="367" t="s">
        <v>588</v>
      </c>
      <c r="E177" s="366">
        <v>0.114</v>
      </c>
      <c r="F177" s="366" t="s">
        <v>581</v>
      </c>
    </row>
    <row r="178" spans="1:6" ht="13.8" x14ac:dyDescent="0.25">
      <c r="A178" s="367" t="s">
        <v>589</v>
      </c>
      <c r="E178" s="366">
        <v>0.126</v>
      </c>
      <c r="F178" s="366" t="s">
        <v>581</v>
      </c>
    </row>
    <row r="179" spans="1:6" ht="13.8" x14ac:dyDescent="0.25">
      <c r="A179" s="367" t="s">
        <v>590</v>
      </c>
      <c r="E179" s="366">
        <v>0.17799999999999999</v>
      </c>
      <c r="F179" s="366" t="s">
        <v>581</v>
      </c>
    </row>
    <row r="180" spans="1:6" ht="13.8" x14ac:dyDescent="0.25">
      <c r="A180" s="367" t="s">
        <v>591</v>
      </c>
      <c r="E180" s="366">
        <v>0.26</v>
      </c>
      <c r="F180" s="366" t="s">
        <v>581</v>
      </c>
    </row>
    <row r="181" spans="1:6" ht="13.8" x14ac:dyDescent="0.25">
      <c r="A181" s="367" t="s">
        <v>592</v>
      </c>
      <c r="E181" s="366">
        <v>0.38500000000000001</v>
      </c>
      <c r="F181" s="366" t="s">
        <v>581</v>
      </c>
    </row>
    <row r="182" spans="1:6" ht="13.8" x14ac:dyDescent="0.25">
      <c r="A182" s="42"/>
      <c r="B182" s="42"/>
      <c r="C182" s="42"/>
    </row>
  </sheetData>
  <sheetProtection sheet="1" objects="1" scenarios="1"/>
  <mergeCells count="5">
    <mergeCell ref="C5:D5"/>
    <mergeCell ref="C6:D6"/>
    <mergeCell ref="A31:O31"/>
    <mergeCell ref="C32:G32"/>
    <mergeCell ref="C89:I89"/>
  </mergeCells>
  <dataValidations count="5">
    <dataValidation type="list" allowBlank="1" showErrorMessage="1" sqref="C4">
      <formula1>$A$147:$A$155</formula1>
    </dataValidation>
    <dataValidation type="list" allowBlank="1" showErrorMessage="1" sqref="C5">
      <formula1>$A$157:$A$162</formula1>
    </dataValidation>
    <dataValidation type="list" allowBlank="1" showErrorMessage="1" sqref="C6">
      <formula1>$A$170:$A$181</formula1>
    </dataValidation>
    <dataValidation type="list" allowBlank="1" showErrorMessage="1" sqref="C11:C12 E11:E12 G11:G12 I11:I12">
      <formula1>$B$35:$B$86</formula1>
    </dataValidation>
    <dataValidation type="list" allowBlank="1" showErrorMessage="1" sqref="C15:C16 E15:E16 G15:G16 I15:I16">
      <formula1>$C$34:$O$34</formula1>
    </dataValidation>
  </dataValidation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4"/>
  <sheetViews>
    <sheetView workbookViewId="0">
      <selection activeCell="B92" sqref="B92"/>
    </sheetView>
  </sheetViews>
  <sheetFormatPr baseColWidth="10" defaultRowHeight="13.8" x14ac:dyDescent="0.25"/>
  <cols>
    <col min="1" max="1" width="33.19921875" customWidth="1"/>
    <col min="2" max="2" width="13.5" customWidth="1"/>
    <col min="3" max="3" width="8.8984375" customWidth="1"/>
    <col min="4" max="4" width="11.3984375" customWidth="1"/>
    <col min="5" max="5" width="7.8984375" customWidth="1"/>
    <col min="6" max="6" width="4.3984375" customWidth="1"/>
    <col min="7" max="7" width="10.5" customWidth="1"/>
    <col min="8" max="8" width="6.5" customWidth="1"/>
    <col min="9" max="9" width="5.796875" customWidth="1"/>
    <col min="10" max="10" width="9.8984375" customWidth="1"/>
    <col min="11" max="11" width="11.19921875" customWidth="1"/>
    <col min="12" max="12" width="9" customWidth="1"/>
    <col min="13" max="13" width="7.8984375" customWidth="1"/>
    <col min="14" max="14" width="15.3984375" customWidth="1"/>
    <col min="15" max="1024" width="7.8984375" customWidth="1"/>
  </cols>
  <sheetData>
    <row r="1" spans="1:14" ht="17.399999999999999" x14ac:dyDescent="0.3">
      <c r="A1" s="372" t="s">
        <v>593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x14ac:dyDescent="0.25">
      <c r="A2" t="s">
        <v>507</v>
      </c>
      <c r="B2" s="263" t="s">
        <v>594</v>
      </c>
      <c r="C2" s="9"/>
      <c r="G2" t="s">
        <v>595</v>
      </c>
      <c r="I2" t="s">
        <v>596</v>
      </c>
      <c r="J2" t="s">
        <v>597</v>
      </c>
      <c r="L2" t="s">
        <v>598</v>
      </c>
    </row>
    <row r="3" spans="1:14" x14ac:dyDescent="0.25">
      <c r="A3" t="s">
        <v>599</v>
      </c>
      <c r="B3" s="9">
        <v>9870</v>
      </c>
      <c r="C3" t="s">
        <v>600</v>
      </c>
      <c r="G3" s="345"/>
      <c r="H3" s="348" t="s">
        <v>541</v>
      </c>
    </row>
    <row r="4" spans="1:14" x14ac:dyDescent="0.25">
      <c r="G4" s="350" t="s">
        <v>542</v>
      </c>
      <c r="H4" s="351">
        <v>1</v>
      </c>
      <c r="I4" s="9"/>
      <c r="J4" s="374" t="e">
        <f t="shared" ref="J4:J35" si="0">1/I4*$B$3</f>
        <v>#DIV/0!</v>
      </c>
      <c r="K4" s="9"/>
      <c r="L4" s="263"/>
      <c r="M4" s="9"/>
    </row>
    <row r="5" spans="1:14" x14ac:dyDescent="0.25">
      <c r="G5" s="345"/>
      <c r="H5" s="353">
        <v>2</v>
      </c>
      <c r="I5" s="9"/>
      <c r="J5" s="374" t="e">
        <f t="shared" si="0"/>
        <v>#DIV/0!</v>
      </c>
      <c r="K5" s="9"/>
      <c r="L5" s="263"/>
      <c r="M5" s="9"/>
    </row>
    <row r="6" spans="1:14" x14ac:dyDescent="0.25">
      <c r="A6" t="s">
        <v>601</v>
      </c>
      <c r="G6" s="345"/>
      <c r="H6" s="353">
        <v>3</v>
      </c>
      <c r="I6" s="9"/>
      <c r="J6" s="374" t="e">
        <f t="shared" si="0"/>
        <v>#DIV/0!</v>
      </c>
      <c r="K6" s="9"/>
      <c r="L6" s="263"/>
      <c r="M6" s="9"/>
    </row>
    <row r="7" spans="1:14" x14ac:dyDescent="0.25">
      <c r="A7" t="s">
        <v>602</v>
      </c>
      <c r="B7" t="s">
        <v>603</v>
      </c>
      <c r="C7" t="s">
        <v>604</v>
      </c>
      <c r="D7" t="s">
        <v>605</v>
      </c>
      <c r="E7" t="s">
        <v>606</v>
      </c>
      <c r="G7" s="345"/>
      <c r="H7" s="353">
        <v>4</v>
      </c>
      <c r="I7" s="9"/>
      <c r="J7" s="374" t="e">
        <f t="shared" si="0"/>
        <v>#DIV/0!</v>
      </c>
      <c r="K7" s="9"/>
      <c r="L7" s="263"/>
      <c r="M7" s="9"/>
    </row>
    <row r="8" spans="1:14" x14ac:dyDescent="0.25">
      <c r="A8" s="9" t="s">
        <v>505</v>
      </c>
      <c r="B8" s="375">
        <v>1</v>
      </c>
      <c r="C8" s="376">
        <f t="shared" ref="C8:C17" si="1">B8*$B$3</f>
        <v>9870</v>
      </c>
      <c r="D8" s="308">
        <f t="shared" ref="D8:D17" si="2">C8*E8</f>
        <v>2961</v>
      </c>
      <c r="E8" s="308">
        <f>IF(A8=0,0,VLOOKUP(A8,'Arbeit&amp;Material'!$A$3:$D$300,4,0))</f>
        <v>0.3</v>
      </c>
      <c r="G8" s="355"/>
      <c r="H8" s="356">
        <v>5</v>
      </c>
      <c r="I8" s="9"/>
      <c r="J8" s="374" t="e">
        <f t="shared" si="0"/>
        <v>#DIV/0!</v>
      </c>
      <c r="K8" s="9"/>
      <c r="L8" s="263"/>
      <c r="M8" s="9"/>
    </row>
    <row r="9" spans="1:14" ht="26.4" x14ac:dyDescent="0.25">
      <c r="A9" s="9" t="s">
        <v>503</v>
      </c>
      <c r="B9" s="375">
        <v>1</v>
      </c>
      <c r="C9" s="376">
        <f t="shared" si="1"/>
        <v>9870</v>
      </c>
      <c r="D9" s="308">
        <f t="shared" si="2"/>
        <v>1448.4224999999999</v>
      </c>
      <c r="E9" s="308">
        <f>IF(A9=0,0,VLOOKUP(A9,'Arbeit&amp;Material'!$A$3:$D$300,4,0))</f>
        <v>0.14674999999999999</v>
      </c>
      <c r="G9" s="358" t="s">
        <v>543</v>
      </c>
      <c r="H9" s="353">
        <v>6</v>
      </c>
      <c r="I9" s="9"/>
      <c r="J9" s="374" t="e">
        <f t="shared" si="0"/>
        <v>#DIV/0!</v>
      </c>
      <c r="K9" s="9"/>
      <c r="L9" s="263"/>
      <c r="M9" s="9"/>
    </row>
    <row r="10" spans="1:14" x14ac:dyDescent="0.25">
      <c r="A10" s="9" t="s">
        <v>485</v>
      </c>
      <c r="B10" s="375">
        <v>3.2</v>
      </c>
      <c r="C10" s="376">
        <f t="shared" si="1"/>
        <v>31584</v>
      </c>
      <c r="D10" s="308">
        <f t="shared" si="2"/>
        <v>1421.28</v>
      </c>
      <c r="E10" s="308">
        <f>IF(A10=0,0,VLOOKUP(A10,'Arbeit&amp;Material'!$A$3:$D$300,4,0))</f>
        <v>4.4999999999999998E-2</v>
      </c>
      <c r="G10" s="345"/>
      <c r="H10" s="353">
        <v>7</v>
      </c>
      <c r="I10" s="9"/>
      <c r="J10" s="374" t="e">
        <f t="shared" si="0"/>
        <v>#DIV/0!</v>
      </c>
      <c r="K10" s="9"/>
      <c r="L10" s="263"/>
      <c r="M10" s="9"/>
    </row>
    <row r="11" spans="1:14" x14ac:dyDescent="0.25">
      <c r="A11" s="9" t="s">
        <v>504</v>
      </c>
      <c r="B11" s="375">
        <v>1</v>
      </c>
      <c r="C11" s="376">
        <f t="shared" si="1"/>
        <v>9870</v>
      </c>
      <c r="D11" s="308">
        <f t="shared" si="2"/>
        <v>296.09999999999997</v>
      </c>
      <c r="E11" s="308">
        <f>IF(A11=0,0,VLOOKUP(A11,'Arbeit&amp;Material'!$A$3:$D$300,4,0))</f>
        <v>0.03</v>
      </c>
      <c r="G11" s="345"/>
      <c r="H11" s="353">
        <v>8</v>
      </c>
      <c r="I11" s="9"/>
      <c r="J11" s="374" t="e">
        <f t="shared" si="0"/>
        <v>#DIV/0!</v>
      </c>
      <c r="K11" s="9"/>
      <c r="L11" s="263"/>
      <c r="M11" s="9"/>
    </row>
    <row r="12" spans="1:14" x14ac:dyDescent="0.25">
      <c r="A12" s="9"/>
      <c r="B12" s="375"/>
      <c r="C12" s="376">
        <f t="shared" si="1"/>
        <v>0</v>
      </c>
      <c r="D12" s="308">
        <f t="shared" si="2"/>
        <v>0</v>
      </c>
      <c r="E12" s="308">
        <f>IF(A12=0,0,VLOOKUP(A12,'Arbeit&amp;Material'!$A$3:$D$300,4,0))</f>
        <v>0</v>
      </c>
      <c r="G12" s="345"/>
      <c r="H12" s="353">
        <v>9</v>
      </c>
      <c r="I12" s="9"/>
      <c r="J12" s="374" t="e">
        <f t="shared" si="0"/>
        <v>#DIV/0!</v>
      </c>
      <c r="K12" s="9"/>
      <c r="L12" s="263"/>
      <c r="M12" s="9"/>
    </row>
    <row r="13" spans="1:14" x14ac:dyDescent="0.25">
      <c r="A13" s="9"/>
      <c r="B13" s="375"/>
      <c r="C13" s="376">
        <f t="shared" si="1"/>
        <v>0</v>
      </c>
      <c r="D13" s="308">
        <f t="shared" si="2"/>
        <v>0</v>
      </c>
      <c r="E13" s="308">
        <f>IF(A13=0,0,VLOOKUP(A13,'Arbeit&amp;Material'!$A$3:$D$300,4,0))</f>
        <v>0</v>
      </c>
      <c r="G13" s="350" t="s">
        <v>544</v>
      </c>
      <c r="H13" s="351">
        <v>10</v>
      </c>
      <c r="I13" s="9"/>
      <c r="J13" s="374" t="e">
        <f t="shared" si="0"/>
        <v>#DIV/0!</v>
      </c>
      <c r="K13" s="9"/>
      <c r="L13" s="263"/>
      <c r="M13" s="9"/>
    </row>
    <row r="14" spans="1:14" x14ac:dyDescent="0.25">
      <c r="A14" s="9"/>
      <c r="B14" s="375"/>
      <c r="C14" s="376">
        <f t="shared" si="1"/>
        <v>0</v>
      </c>
      <c r="D14" s="308">
        <f t="shared" si="2"/>
        <v>0</v>
      </c>
      <c r="E14" s="308">
        <f>IF(A14=0,0,VLOOKUP(A14,'Arbeit&amp;Material'!$A$3:$D$300,4,0))</f>
        <v>0</v>
      </c>
      <c r="G14" s="345"/>
      <c r="H14" s="353">
        <v>11</v>
      </c>
      <c r="I14" s="9"/>
      <c r="J14" s="374" t="e">
        <f t="shared" si="0"/>
        <v>#DIV/0!</v>
      </c>
      <c r="K14" s="9"/>
      <c r="L14" s="263"/>
      <c r="M14" s="9"/>
    </row>
    <row r="15" spans="1:14" x14ac:dyDescent="0.25">
      <c r="A15" s="9"/>
      <c r="B15" s="375"/>
      <c r="C15" s="376">
        <f t="shared" si="1"/>
        <v>0</v>
      </c>
      <c r="D15" s="308">
        <f t="shared" si="2"/>
        <v>0</v>
      </c>
      <c r="E15" s="308">
        <f>IF(A15=0,0,VLOOKUP(A15,'Arbeit&amp;Material'!$A$3:$D$300,4,0))</f>
        <v>0</v>
      </c>
      <c r="G15" s="345"/>
      <c r="H15" s="353">
        <v>12</v>
      </c>
      <c r="I15" s="9"/>
      <c r="J15" s="374" t="e">
        <f t="shared" si="0"/>
        <v>#DIV/0!</v>
      </c>
      <c r="K15" s="9"/>
      <c r="L15" s="263"/>
      <c r="M15" s="9"/>
    </row>
    <row r="16" spans="1:14" x14ac:dyDescent="0.25">
      <c r="A16" s="9"/>
      <c r="B16" s="375"/>
      <c r="C16" s="376">
        <f t="shared" si="1"/>
        <v>0</v>
      </c>
      <c r="D16" s="308">
        <f t="shared" si="2"/>
        <v>0</v>
      </c>
      <c r="E16" s="308">
        <f>IF(A16=0,0,VLOOKUP(A16,'Arbeit&amp;Material'!$A$3:$D$300,4,0))</f>
        <v>0</v>
      </c>
      <c r="G16" s="345"/>
      <c r="H16" s="353">
        <v>13</v>
      </c>
      <c r="I16" s="9"/>
      <c r="J16" s="374" t="e">
        <f t="shared" si="0"/>
        <v>#DIV/0!</v>
      </c>
      <c r="K16" s="9"/>
      <c r="L16" s="263"/>
      <c r="M16" s="9"/>
    </row>
    <row r="17" spans="1:13" x14ac:dyDescent="0.25">
      <c r="A17" s="9"/>
      <c r="B17" s="375"/>
      <c r="C17" s="376">
        <f t="shared" si="1"/>
        <v>0</v>
      </c>
      <c r="D17" s="308">
        <f t="shared" si="2"/>
        <v>0</v>
      </c>
      <c r="E17" s="308">
        <f>IF(A17=0,0,VLOOKUP(A17,'Arbeit&amp;Material'!$A$3:$D$300,4,0))</f>
        <v>0</v>
      </c>
      <c r="G17" s="350" t="s">
        <v>545</v>
      </c>
      <c r="H17" s="351">
        <v>14</v>
      </c>
      <c r="I17" s="9"/>
      <c r="J17" s="374" t="e">
        <f t="shared" si="0"/>
        <v>#DIV/0!</v>
      </c>
      <c r="K17" s="9"/>
      <c r="L17" s="263"/>
      <c r="M17" s="9"/>
    </row>
    <row r="18" spans="1:13" x14ac:dyDescent="0.25">
      <c r="D18" s="308">
        <f>SUM(D8:D17)</f>
        <v>6126.8024999999998</v>
      </c>
      <c r="G18" s="345"/>
      <c r="H18" s="353">
        <v>15</v>
      </c>
      <c r="I18" s="9"/>
      <c r="J18" s="374" t="e">
        <f t="shared" si="0"/>
        <v>#DIV/0!</v>
      </c>
      <c r="K18" s="9"/>
      <c r="L18" s="263"/>
      <c r="M18" s="9"/>
    </row>
    <row r="19" spans="1:13" x14ac:dyDescent="0.25">
      <c r="A19" t="s">
        <v>607</v>
      </c>
      <c r="D19" s="308">
        <f>Heiz!K29</f>
        <v>87.874295040000007</v>
      </c>
      <c r="G19" s="345"/>
      <c r="H19" s="353">
        <v>16</v>
      </c>
      <c r="I19" s="9"/>
      <c r="J19" s="374" t="e">
        <f t="shared" si="0"/>
        <v>#DIV/0!</v>
      </c>
      <c r="K19" s="9"/>
      <c r="L19" s="263"/>
      <c r="M19" s="9"/>
    </row>
    <row r="20" spans="1:13" x14ac:dyDescent="0.25">
      <c r="A20" t="s">
        <v>608</v>
      </c>
      <c r="D20" s="310">
        <v>0</v>
      </c>
      <c r="G20" s="345"/>
      <c r="H20" s="353">
        <v>17</v>
      </c>
      <c r="I20" s="9"/>
      <c r="J20" s="374" t="e">
        <f t="shared" si="0"/>
        <v>#DIV/0!</v>
      </c>
      <c r="K20" s="9"/>
      <c r="L20" s="263"/>
      <c r="M20" s="9"/>
    </row>
    <row r="21" spans="1:13" x14ac:dyDescent="0.25">
      <c r="A21" t="s">
        <v>609</v>
      </c>
      <c r="D21" s="308">
        <f>IF(D20=0,(GuV!B5+GuV!B6+GuV!B9)/(GuV!B4+GuV!B7+GuV!B10+GuV!B12)*D18,D20)</f>
        <v>364.30058170310542</v>
      </c>
      <c r="G21" s="345"/>
      <c r="H21" s="353">
        <v>18</v>
      </c>
      <c r="I21" s="9"/>
      <c r="J21" s="374" t="e">
        <f t="shared" si="0"/>
        <v>#DIV/0!</v>
      </c>
      <c r="K21" s="9"/>
      <c r="L21" s="263"/>
      <c r="M21" s="9"/>
    </row>
    <row r="22" spans="1:13" x14ac:dyDescent="0.25">
      <c r="A22" s="248" t="s">
        <v>610</v>
      </c>
      <c r="B22" s="377"/>
      <c r="C22" s="377"/>
      <c r="D22" s="378">
        <f>SUM(D18:D21)</f>
        <v>6578.9773767431052</v>
      </c>
      <c r="E22" s="379">
        <f>D22/B3</f>
        <v>0.6665630574207807</v>
      </c>
      <c r="G22" s="350" t="s">
        <v>546</v>
      </c>
      <c r="H22" s="351">
        <v>19</v>
      </c>
      <c r="I22" s="9">
        <v>28</v>
      </c>
      <c r="J22" s="374">
        <f t="shared" si="0"/>
        <v>352.5</v>
      </c>
      <c r="K22" s="9" t="s">
        <v>437</v>
      </c>
      <c r="L22" s="263"/>
      <c r="M22" s="9"/>
    </row>
    <row r="23" spans="1:13" ht="13.5" customHeight="1" x14ac:dyDescent="0.25">
      <c r="D23" s="308"/>
      <c r="G23" s="345"/>
      <c r="H23" s="353">
        <v>20</v>
      </c>
      <c r="I23" s="9">
        <v>28</v>
      </c>
      <c r="J23" s="374">
        <f t="shared" si="0"/>
        <v>352.5</v>
      </c>
      <c r="K23" s="9" t="s">
        <v>437</v>
      </c>
      <c r="L23" s="263"/>
      <c r="M23" s="9"/>
    </row>
    <row r="24" spans="1:13" x14ac:dyDescent="0.25">
      <c r="A24" t="s">
        <v>611</v>
      </c>
      <c r="D24" s="308"/>
      <c r="G24" s="345"/>
      <c r="H24" s="353">
        <v>21</v>
      </c>
      <c r="I24" s="9">
        <v>28</v>
      </c>
      <c r="J24" s="374">
        <f t="shared" si="0"/>
        <v>352.5</v>
      </c>
      <c r="K24" s="9" t="s">
        <v>437</v>
      </c>
      <c r="L24" s="263"/>
      <c r="M24" s="9"/>
    </row>
    <row r="25" spans="1:13" x14ac:dyDescent="0.25">
      <c r="A25" t="s">
        <v>612</v>
      </c>
      <c r="D25" s="308" t="s">
        <v>605</v>
      </c>
      <c r="G25" s="345"/>
      <c r="H25" s="353">
        <v>22</v>
      </c>
      <c r="I25" s="9">
        <v>28</v>
      </c>
      <c r="J25" s="374">
        <f t="shared" si="0"/>
        <v>352.5</v>
      </c>
      <c r="K25" s="9" t="s">
        <v>437</v>
      </c>
      <c r="L25" s="263"/>
      <c r="M25" s="9"/>
    </row>
    <row r="26" spans="1:13" x14ac:dyDescent="0.25">
      <c r="A26" s="9"/>
      <c r="D26" s="310"/>
      <c r="G26" s="350" t="s">
        <v>547</v>
      </c>
      <c r="H26" s="351">
        <v>23</v>
      </c>
      <c r="I26" s="9">
        <v>28</v>
      </c>
      <c r="J26" s="374">
        <f t="shared" si="0"/>
        <v>352.5</v>
      </c>
      <c r="K26" s="9" t="s">
        <v>437</v>
      </c>
      <c r="L26" s="263"/>
      <c r="M26" s="9"/>
    </row>
    <row r="27" spans="1:13" x14ac:dyDescent="0.25">
      <c r="A27" s="9"/>
      <c r="D27" s="310"/>
      <c r="G27" s="345"/>
      <c r="H27" s="353">
        <v>24</v>
      </c>
      <c r="I27" s="9">
        <v>28</v>
      </c>
      <c r="J27" s="374">
        <f t="shared" si="0"/>
        <v>352.5</v>
      </c>
      <c r="K27" s="9" t="s">
        <v>437</v>
      </c>
      <c r="L27" s="263"/>
      <c r="M27" s="9"/>
    </row>
    <row r="28" spans="1:13" x14ac:dyDescent="0.25">
      <c r="A28" s="9"/>
      <c r="D28" s="310"/>
      <c r="G28" s="345"/>
      <c r="H28" s="353">
        <v>25</v>
      </c>
      <c r="I28" s="9">
        <v>5</v>
      </c>
      <c r="J28" s="374">
        <f t="shared" si="0"/>
        <v>1974</v>
      </c>
      <c r="K28" s="9" t="s">
        <v>438</v>
      </c>
      <c r="L28" s="263"/>
      <c r="M28" s="9"/>
    </row>
    <row r="29" spans="1:13" x14ac:dyDescent="0.25">
      <c r="A29" t="s">
        <v>613</v>
      </c>
      <c r="D29" s="310"/>
      <c r="G29" s="345"/>
      <c r="H29" s="353">
        <v>26</v>
      </c>
      <c r="I29" s="9">
        <v>5</v>
      </c>
      <c r="J29" s="374">
        <f t="shared" si="0"/>
        <v>1974</v>
      </c>
      <c r="K29" s="9" t="s">
        <v>438</v>
      </c>
      <c r="L29" s="263"/>
      <c r="M29" s="9"/>
    </row>
    <row r="30" spans="1:13" x14ac:dyDescent="0.25">
      <c r="A30" t="s">
        <v>614</v>
      </c>
      <c r="C30" t="s">
        <v>615</v>
      </c>
      <c r="D30" t="s">
        <v>605</v>
      </c>
      <c r="G30" s="350" t="s">
        <v>548</v>
      </c>
      <c r="H30" s="351">
        <v>27</v>
      </c>
      <c r="I30" s="9">
        <v>5</v>
      </c>
      <c r="J30" s="374">
        <f t="shared" si="0"/>
        <v>1974</v>
      </c>
      <c r="K30" s="9" t="s">
        <v>438</v>
      </c>
      <c r="L30" s="263"/>
      <c r="M30" s="9"/>
    </row>
    <row r="31" spans="1:13" x14ac:dyDescent="0.25">
      <c r="A31" s="263"/>
      <c r="C31">
        <f>IF(A31=0,0,VLOOKUP(A31,'Arbeit&amp;Material'!$F$3:$I$50,3,0))</f>
        <v>0</v>
      </c>
      <c r="D31" s="308">
        <f>IF(C31&gt;0,(VLOOKUP(A31,'Arbeit&amp;Material'!$F$3:$I$50,4,0)*$B$3),0)</f>
        <v>0</v>
      </c>
      <c r="G31" s="345"/>
      <c r="H31" s="353">
        <v>28</v>
      </c>
      <c r="I31" s="9">
        <v>5</v>
      </c>
      <c r="J31" s="374">
        <f t="shared" si="0"/>
        <v>1974</v>
      </c>
      <c r="K31" s="9" t="s">
        <v>438</v>
      </c>
      <c r="L31" s="263"/>
      <c r="M31" s="9"/>
    </row>
    <row r="32" spans="1:13" x14ac:dyDescent="0.25">
      <c r="A32" s="263"/>
      <c r="C32">
        <f>IF(A32=0,0,VLOOKUP(A32,'Arbeit&amp;Material'!$F$3:$I$50,3,0))</f>
        <v>0</v>
      </c>
      <c r="D32" s="308">
        <f>IF(C32&gt;0,(VLOOKUP(A32,'Arbeit&amp;Material'!$F$3:$I$50,4,0)*$B$3),0)</f>
        <v>0</v>
      </c>
      <c r="G32" s="345"/>
      <c r="H32" s="353">
        <v>29</v>
      </c>
      <c r="I32" s="9">
        <v>5</v>
      </c>
      <c r="J32" s="374">
        <f t="shared" si="0"/>
        <v>1974</v>
      </c>
      <c r="K32" s="9" t="s">
        <v>438</v>
      </c>
      <c r="L32" s="263"/>
      <c r="M32" s="9"/>
    </row>
    <row r="33" spans="1:13" x14ac:dyDescent="0.25">
      <c r="A33" s="263"/>
      <c r="C33">
        <f>IF(A33=0,0,VLOOKUP(A33,'Arbeit&amp;Material'!$F$3:$I$50,3,0))</f>
        <v>0</v>
      </c>
      <c r="D33" s="308">
        <f>IF(C33&gt;0,(VLOOKUP(A33,'Arbeit&amp;Material'!$F$3:$I$50,4,0)*$B$3),0)</f>
        <v>0</v>
      </c>
      <c r="G33" s="345"/>
      <c r="H33" s="353">
        <v>30</v>
      </c>
      <c r="I33" s="9">
        <v>5</v>
      </c>
      <c r="J33" s="374">
        <f t="shared" si="0"/>
        <v>1974</v>
      </c>
      <c r="K33" s="9" t="s">
        <v>438</v>
      </c>
      <c r="L33" s="263"/>
      <c r="M33" s="9"/>
    </row>
    <row r="34" spans="1:13" x14ac:dyDescent="0.25">
      <c r="A34" s="263"/>
      <c r="C34">
        <f>IF(A34=0,0,VLOOKUP(A34,'Arbeit&amp;Material'!$F$3:$I$50,3,0))</f>
        <v>0</v>
      </c>
      <c r="D34" s="308">
        <f>IF(C34&gt;0,(VLOOKUP(A34,'Arbeit&amp;Material'!$F$3:$I$50,4,0)*$B$3),0)</f>
        <v>0</v>
      </c>
      <c r="G34" s="345"/>
      <c r="H34" s="353">
        <v>31</v>
      </c>
      <c r="I34" s="9">
        <v>5</v>
      </c>
      <c r="J34" s="374">
        <f t="shared" si="0"/>
        <v>1974</v>
      </c>
      <c r="K34" s="9" t="s">
        <v>438</v>
      </c>
      <c r="L34" s="263"/>
      <c r="M34" s="9"/>
    </row>
    <row r="35" spans="1:13" x14ac:dyDescent="0.25">
      <c r="A35" s="263"/>
      <c r="C35">
        <f>IF(A35=0,0,VLOOKUP(A35,'Arbeit&amp;Material'!$F$3:$I$50,3,0))</f>
        <v>0</v>
      </c>
      <c r="D35" s="308">
        <f>IF(C35&gt;0,(VLOOKUP(A35,'Arbeit&amp;Material'!$F$3:$I$50,4,0)*$B$3),0)</f>
        <v>0</v>
      </c>
      <c r="G35" s="350" t="s">
        <v>549</v>
      </c>
      <c r="H35" s="351">
        <v>32</v>
      </c>
      <c r="I35" s="9">
        <v>5</v>
      </c>
      <c r="J35" s="374">
        <f t="shared" si="0"/>
        <v>1974</v>
      </c>
      <c r="K35" s="9" t="s">
        <v>438</v>
      </c>
      <c r="L35" s="263"/>
      <c r="M35" s="9"/>
    </row>
    <row r="36" spans="1:13" x14ac:dyDescent="0.25">
      <c r="A36" s="263"/>
      <c r="C36">
        <f>IF(A36=0,0,VLOOKUP(A36,'Arbeit&amp;Material'!$F$3:$I$50,3,0))</f>
        <v>0</v>
      </c>
      <c r="D36" s="308">
        <f>IF(C36&gt;0,(VLOOKUP(A36,'Arbeit&amp;Material'!$F$3:$I$50,4,0)*$B$3),0)</f>
        <v>0</v>
      </c>
      <c r="G36" s="345"/>
      <c r="H36" s="353">
        <v>33</v>
      </c>
      <c r="I36" s="9">
        <v>5</v>
      </c>
      <c r="J36" s="374">
        <f t="shared" ref="J36:J67" si="3">1/I36*$B$3</f>
        <v>1974</v>
      </c>
      <c r="K36" s="9" t="s">
        <v>438</v>
      </c>
      <c r="L36" s="263"/>
      <c r="M36" s="9"/>
    </row>
    <row r="37" spans="1:13" ht="14.4" customHeight="1" x14ac:dyDescent="0.25">
      <c r="A37" s="263"/>
      <c r="C37">
        <f>IF(A37=0,0,VLOOKUP(A37,'Arbeit&amp;Material'!$F$3:$I$50,3,0))</f>
        <v>0</v>
      </c>
      <c r="D37" s="308">
        <f>IF(C37&gt;0,(VLOOKUP(A37,'Arbeit&amp;Material'!$F$3:$I$50,4,0)*$B$3),0)</f>
        <v>0</v>
      </c>
      <c r="G37" s="345"/>
      <c r="H37" s="353">
        <v>34</v>
      </c>
      <c r="I37" s="9">
        <v>5</v>
      </c>
      <c r="J37" s="374">
        <f t="shared" si="3"/>
        <v>1974</v>
      </c>
      <c r="K37" s="9" t="s">
        <v>438</v>
      </c>
      <c r="L37" s="263"/>
      <c r="M37" s="9"/>
    </row>
    <row r="38" spans="1:13" ht="14.4" customHeight="1" x14ac:dyDescent="0.25">
      <c r="A38" s="263"/>
      <c r="C38">
        <f>IF(A38=0,0,VLOOKUP(A38,'Arbeit&amp;Material'!$F$3:$I$50,3,0))</f>
        <v>0</v>
      </c>
      <c r="D38" s="308">
        <f>IF(C38&gt;0,(VLOOKUP(A38,'Arbeit&amp;Material'!$F$3:$I$50,4,0)*$B$3),0)</f>
        <v>0</v>
      </c>
      <c r="G38" s="345"/>
      <c r="H38" s="353">
        <v>35</v>
      </c>
      <c r="I38" s="9">
        <v>5</v>
      </c>
      <c r="J38" s="374">
        <f t="shared" si="3"/>
        <v>1974</v>
      </c>
      <c r="K38" s="9" t="s">
        <v>438</v>
      </c>
      <c r="L38" s="263"/>
      <c r="M38" s="9"/>
    </row>
    <row r="39" spans="1:13" ht="14.4" customHeight="1" x14ac:dyDescent="0.25">
      <c r="A39" s="263"/>
      <c r="C39">
        <f>IF(A39=0,0,VLOOKUP(A39,'Arbeit&amp;Material'!$F$3:$I$50,3,0))</f>
        <v>0</v>
      </c>
      <c r="D39" s="308">
        <f>IF(C39&gt;0,(VLOOKUP(A39,'Arbeit&amp;Material'!$F$3:$I$50,4,0)*$B$3),0)</f>
        <v>0</v>
      </c>
      <c r="G39" s="350" t="s">
        <v>550</v>
      </c>
      <c r="H39" s="351">
        <v>36</v>
      </c>
      <c r="I39" s="9"/>
      <c r="J39" s="374" t="e">
        <f t="shared" si="3"/>
        <v>#DIV/0!</v>
      </c>
      <c r="K39" s="9"/>
      <c r="L39" s="263"/>
      <c r="M39" s="9"/>
    </row>
    <row r="40" spans="1:13" ht="14.4" customHeight="1" x14ac:dyDescent="0.25">
      <c r="A40" s="263"/>
      <c r="C40">
        <f>IF(A40=0,0,VLOOKUP(A40,'Arbeit&amp;Material'!$F$3:$I$50,3,0))</f>
        <v>0</v>
      </c>
      <c r="D40" s="308">
        <f>IF(C40&gt;0,(VLOOKUP(A40,'Arbeit&amp;Material'!$F$3:$I$50,4,0)*$B$3),0)</f>
        <v>0</v>
      </c>
      <c r="G40" s="345"/>
      <c r="H40" s="353">
        <v>37</v>
      </c>
      <c r="I40" s="9"/>
      <c r="J40" s="374" t="e">
        <f t="shared" si="3"/>
        <v>#DIV/0!</v>
      </c>
      <c r="K40" s="9"/>
      <c r="L40" s="263"/>
      <c r="M40" s="9"/>
    </row>
    <row r="41" spans="1:13" ht="14.4" customHeight="1" x14ac:dyDescent="0.25">
      <c r="A41" s="248" t="s">
        <v>616</v>
      </c>
      <c r="B41" s="377"/>
      <c r="C41" s="377"/>
      <c r="D41" s="378">
        <f>SUM(D31:D40)+SUM(D26:D29)</f>
        <v>0</v>
      </c>
      <c r="E41" s="379">
        <f>D41/B3</f>
        <v>0</v>
      </c>
      <c r="G41" s="345"/>
      <c r="H41" s="353">
        <v>38</v>
      </c>
      <c r="I41" s="9"/>
      <c r="J41" s="374" t="e">
        <f t="shared" si="3"/>
        <v>#DIV/0!</v>
      </c>
      <c r="K41" s="9"/>
      <c r="L41" s="263"/>
      <c r="M41" s="9"/>
    </row>
    <row r="42" spans="1:13" ht="14.4" customHeight="1" x14ac:dyDescent="0.25">
      <c r="D42" s="308"/>
      <c r="G42" s="345"/>
      <c r="H42" s="353">
        <v>39</v>
      </c>
      <c r="I42" s="9"/>
      <c r="J42" s="374" t="e">
        <f t="shared" si="3"/>
        <v>#DIV/0!</v>
      </c>
      <c r="K42" s="9"/>
      <c r="L42" s="263"/>
      <c r="M42" s="9"/>
    </row>
    <row r="43" spans="1:13" ht="14.4" customHeight="1" x14ac:dyDescent="0.25">
      <c r="A43" s="248" t="s">
        <v>617</v>
      </c>
      <c r="B43" s="377"/>
      <c r="C43" s="377"/>
      <c r="D43" s="378">
        <f>D41+D22</f>
        <v>6578.9773767431052</v>
      </c>
      <c r="E43" s="379">
        <f>D43/B3</f>
        <v>0.6665630574207807</v>
      </c>
      <c r="G43" s="345"/>
      <c r="H43" s="353">
        <v>40</v>
      </c>
      <c r="I43" s="9"/>
      <c r="J43" s="374" t="e">
        <f t="shared" si="3"/>
        <v>#DIV/0!</v>
      </c>
      <c r="K43" s="9"/>
      <c r="L43" s="263"/>
      <c r="M43" s="9"/>
    </row>
    <row r="44" spans="1:13" ht="14.4" customHeight="1" x14ac:dyDescent="0.25">
      <c r="D44" s="308"/>
      <c r="G44" s="350" t="s">
        <v>551</v>
      </c>
      <c r="H44" s="351">
        <v>41</v>
      </c>
      <c r="I44" s="9"/>
      <c r="J44" s="374" t="e">
        <f t="shared" si="3"/>
        <v>#DIV/0!</v>
      </c>
      <c r="K44" s="9"/>
      <c r="L44" s="263"/>
      <c r="M44" s="9"/>
    </row>
    <row r="45" spans="1:13" ht="14.4" customHeight="1" x14ac:dyDescent="0.25">
      <c r="A45" t="s">
        <v>618</v>
      </c>
      <c r="G45" s="345"/>
      <c r="H45" s="353">
        <v>42</v>
      </c>
      <c r="I45" s="9"/>
      <c r="J45" s="374" t="e">
        <f t="shared" si="3"/>
        <v>#DIV/0!</v>
      </c>
      <c r="K45" s="9"/>
      <c r="L45" s="263"/>
      <c r="M45" s="9"/>
    </row>
    <row r="46" spans="1:13" ht="14.4" customHeight="1" x14ac:dyDescent="0.25">
      <c r="A46" t="s">
        <v>598</v>
      </c>
      <c r="B46" s="322" t="s">
        <v>619</v>
      </c>
      <c r="C46" s="322" t="s">
        <v>615</v>
      </c>
      <c r="D46" s="322" t="s">
        <v>605</v>
      </c>
      <c r="G46" s="345"/>
      <c r="H46" s="353">
        <v>43</v>
      </c>
      <c r="I46" s="9"/>
      <c r="J46" s="374" t="e">
        <f t="shared" si="3"/>
        <v>#DIV/0!</v>
      </c>
      <c r="K46" s="9"/>
      <c r="L46" s="263"/>
      <c r="M46" s="9"/>
    </row>
    <row r="47" spans="1:13" ht="14.4" customHeight="1" x14ac:dyDescent="0.25">
      <c r="A47" s="263" t="s">
        <v>490</v>
      </c>
      <c r="B47" s="376">
        <f t="shared" ref="B47:B57" si="4">IF(A47&gt;0,$B$3/C47,0)</f>
        <v>9.8699999999999992</v>
      </c>
      <c r="C47">
        <f>IF(A47=0,0,VLOOKUP(A47,'Arbeit&amp;Material'!$F$3:$I$50,3,0))</f>
        <v>1000</v>
      </c>
      <c r="D47" s="308">
        <f ca="1">IF(C47&gt;0,(VLOOKUP(A47,'Arbeit&amp;Material'!$F$3:$I$50,4,0)*$B$3),0)</f>
        <v>168.12838617036488</v>
      </c>
      <c r="G47" s="345"/>
      <c r="H47" s="353">
        <v>44</v>
      </c>
      <c r="I47" s="9"/>
      <c r="J47" s="374" t="e">
        <f t="shared" si="3"/>
        <v>#DIV/0!</v>
      </c>
      <c r="K47" s="9"/>
      <c r="L47" s="263"/>
      <c r="M47" s="9"/>
    </row>
    <row r="48" spans="1:13" ht="14.4" customHeight="1" x14ac:dyDescent="0.25">
      <c r="A48" s="263" t="s">
        <v>496</v>
      </c>
      <c r="B48" s="376">
        <f t="shared" si="4"/>
        <v>329</v>
      </c>
      <c r="C48">
        <f>IF(A48=0,0,VLOOKUP(A48,'Arbeit&amp;Material'!$F$3:$I$50,3,0))</f>
        <v>30</v>
      </c>
      <c r="D48" s="308">
        <f ca="1">IF(C48&gt;0,(VLOOKUP(A48,'Arbeit&amp;Material'!$F$3:$I$50,4,0)*$B$3),0)</f>
        <v>5604.2795390121628</v>
      </c>
      <c r="G48" s="350" t="s">
        <v>552</v>
      </c>
      <c r="H48" s="351">
        <v>45</v>
      </c>
      <c r="I48" s="9"/>
      <c r="J48" s="374" t="e">
        <f t="shared" si="3"/>
        <v>#DIV/0!</v>
      </c>
      <c r="K48" s="9"/>
      <c r="L48" s="263"/>
      <c r="M48" s="9"/>
    </row>
    <row r="49" spans="1:14" ht="14.4" customHeight="1" x14ac:dyDescent="0.25">
      <c r="A49" s="263" t="s">
        <v>500</v>
      </c>
      <c r="B49" s="376">
        <f t="shared" si="4"/>
        <v>0.24675</v>
      </c>
      <c r="C49">
        <f>IF(A49=0,0,VLOOKUP(A49,'Arbeit&amp;Material'!$F$3:$I$50,3,0))</f>
        <v>40000</v>
      </c>
      <c r="D49" s="308">
        <f ca="1">IF(C49&gt;0,(VLOOKUP(A49,'Arbeit&amp;Material'!$F$3:$I$50,4,0)*$B$3),0)</f>
        <v>4.2032096542591217</v>
      </c>
      <c r="G49" s="345"/>
      <c r="H49" s="353">
        <v>46</v>
      </c>
      <c r="I49" s="9"/>
      <c r="J49" s="374" t="e">
        <f t="shared" si="3"/>
        <v>#DIV/0!</v>
      </c>
      <c r="K49" s="9"/>
      <c r="L49" s="263"/>
      <c r="M49" s="9"/>
    </row>
    <row r="50" spans="1:14" ht="14.4" customHeight="1" x14ac:dyDescent="0.25">
      <c r="A50" s="263" t="s">
        <v>502</v>
      </c>
      <c r="B50" s="376">
        <f t="shared" si="4"/>
        <v>32.9</v>
      </c>
      <c r="C50">
        <f>IF(A50=0,0,VLOOKUP(A50,'Arbeit&amp;Material'!$F$3:$I$50,3,0))</f>
        <v>300</v>
      </c>
      <c r="D50" s="308">
        <f ca="1">IF(C50&gt;0,(VLOOKUP(A50,'Arbeit&amp;Material'!$F$3:$I$50,4,0)*$B$3),0)</f>
        <v>648.04615229466026</v>
      </c>
      <c r="G50" s="345"/>
      <c r="H50" s="353">
        <v>47</v>
      </c>
      <c r="I50" s="9"/>
      <c r="J50" s="374" t="e">
        <f t="shared" si="3"/>
        <v>#DIV/0!</v>
      </c>
      <c r="K50" s="9"/>
      <c r="L50" s="263"/>
      <c r="M50" s="9"/>
    </row>
    <row r="51" spans="1:14" ht="14.4" customHeight="1" x14ac:dyDescent="0.25">
      <c r="A51" s="263"/>
      <c r="B51" s="376">
        <f t="shared" si="4"/>
        <v>0</v>
      </c>
      <c r="C51">
        <f>IF(A51=0,0,VLOOKUP(A51,'Arbeit&amp;Material'!$F$3:$I$50,3,0))</f>
        <v>0</v>
      </c>
      <c r="D51" s="308">
        <f>IF(C51&gt;0,(VLOOKUP(A51,'Arbeit&amp;Material'!$F$3:$I$50,4,0)*$B$3),0)</f>
        <v>0</v>
      </c>
      <c r="G51" s="345"/>
      <c r="H51" s="353">
        <v>48</v>
      </c>
      <c r="I51" s="9"/>
      <c r="J51" s="374" t="e">
        <f t="shared" si="3"/>
        <v>#DIV/0!</v>
      </c>
      <c r="K51" s="9"/>
      <c r="L51" s="263"/>
      <c r="M51" s="9"/>
    </row>
    <row r="52" spans="1:14" ht="14.4" customHeight="1" x14ac:dyDescent="0.25">
      <c r="A52" s="263"/>
      <c r="B52" s="376">
        <f t="shared" si="4"/>
        <v>0</v>
      </c>
      <c r="C52">
        <f>IF(A52=0,0,VLOOKUP(A52,'Arbeit&amp;Material'!$F$3:$I$50,3,0))</f>
        <v>0</v>
      </c>
      <c r="D52" s="308">
        <f>IF(C52&gt;0,(VLOOKUP(A52,'Arbeit&amp;Material'!$F$3:$I$50,4,0)*$B$3),0)</f>
        <v>0</v>
      </c>
      <c r="G52" s="350" t="s">
        <v>553</v>
      </c>
      <c r="H52" s="351">
        <v>49</v>
      </c>
      <c r="I52" s="9"/>
      <c r="J52" s="374" t="e">
        <f t="shared" si="3"/>
        <v>#DIV/0!</v>
      </c>
      <c r="K52" s="9"/>
      <c r="L52" s="263"/>
      <c r="M52" s="9"/>
    </row>
    <row r="53" spans="1:14" ht="14.4" customHeight="1" x14ac:dyDescent="0.25">
      <c r="A53" s="263"/>
      <c r="B53" s="376">
        <f t="shared" si="4"/>
        <v>0</v>
      </c>
      <c r="C53">
        <f>IF(A53=0,0,VLOOKUP(A53,'Arbeit&amp;Material'!$F$3:$I$50,3,0))</f>
        <v>0</v>
      </c>
      <c r="D53" s="308">
        <f>IF(C53&gt;0,(VLOOKUP(A53,'Arbeit&amp;Material'!$F$3:$I$50,4,0)*$B$3),0)</f>
        <v>0</v>
      </c>
      <c r="G53" s="345"/>
      <c r="H53" s="353">
        <v>50</v>
      </c>
      <c r="I53" s="9"/>
      <c r="J53" s="374" t="e">
        <f t="shared" si="3"/>
        <v>#DIV/0!</v>
      </c>
      <c r="K53" s="9"/>
      <c r="L53" s="263"/>
      <c r="M53" s="9"/>
    </row>
    <row r="54" spans="1:14" ht="14.4" customHeight="1" x14ac:dyDescent="0.25">
      <c r="A54" s="263"/>
      <c r="B54" s="376">
        <f t="shared" si="4"/>
        <v>0</v>
      </c>
      <c r="C54">
        <f>IF(A54=0,0,VLOOKUP(A54,'Arbeit&amp;Material'!$F$3:$I$50,3,0))</f>
        <v>0</v>
      </c>
      <c r="D54" s="308">
        <f>IF(C54&gt;0,(VLOOKUP(A54,'Arbeit&amp;Material'!$F$3:$I$50,4,0)*$B$3),0)</f>
        <v>0</v>
      </c>
      <c r="G54" s="345"/>
      <c r="H54" s="353">
        <v>51</v>
      </c>
      <c r="I54" s="9"/>
      <c r="J54" s="374" t="e">
        <f t="shared" si="3"/>
        <v>#DIV/0!</v>
      </c>
      <c r="K54" s="9"/>
      <c r="L54" s="263"/>
      <c r="M54" s="9"/>
    </row>
    <row r="55" spans="1:14" ht="14.4" customHeight="1" thickBot="1" x14ac:dyDescent="0.3">
      <c r="A55" s="263"/>
      <c r="B55" s="376">
        <f t="shared" si="4"/>
        <v>0</v>
      </c>
      <c r="C55">
        <f>IF(A55=0,0,VLOOKUP(A55,'Arbeit&amp;Material'!$F$3:$I$50,3,0))</f>
        <v>0</v>
      </c>
      <c r="D55" s="308">
        <f>IF(C55&gt;0,(VLOOKUP(A55,'Arbeit&amp;Material'!$F$3:$I$50,4,0)*$B$3),0)</f>
        <v>0</v>
      </c>
      <c r="G55" s="359"/>
      <c r="H55" s="360">
        <v>52</v>
      </c>
      <c r="I55" s="9"/>
      <c r="J55" s="374" t="e">
        <f t="shared" si="3"/>
        <v>#DIV/0!</v>
      </c>
      <c r="K55" s="9"/>
      <c r="L55" s="263"/>
      <c r="M55" s="9"/>
    </row>
    <row r="56" spans="1:14" ht="14.4" thickTop="1" x14ac:dyDescent="0.25">
      <c r="A56" s="263"/>
      <c r="B56" s="376">
        <f t="shared" si="4"/>
        <v>0</v>
      </c>
      <c r="C56">
        <f>IF(A56=0,0,VLOOKUP(A56,'Arbeit&amp;Material'!$F$3:$I$50,3,0))</f>
        <v>0</v>
      </c>
      <c r="D56" s="308">
        <f>IF(C56&gt;0,(VLOOKUP(A56,'Arbeit&amp;Material'!$F$3:$I$50,4,0)*$B$3),0)</f>
        <v>0</v>
      </c>
    </row>
    <row r="57" spans="1:14" x14ac:dyDescent="0.25">
      <c r="A57" s="263"/>
      <c r="B57" s="376">
        <f t="shared" si="4"/>
        <v>0</v>
      </c>
      <c r="C57">
        <f>IF(A57=0,0,VLOOKUP(A57,'Arbeit&amp;Material'!$F$3:$I$50,3,0))</f>
        <v>0</v>
      </c>
      <c r="D57" s="308">
        <f>IF(C57&gt;0,(VLOOKUP(A57,'Arbeit&amp;Material'!$F$3:$I$50,4,0)*$B$3),0)</f>
        <v>0</v>
      </c>
    </row>
    <row r="58" spans="1:14" x14ac:dyDescent="0.25">
      <c r="A58" s="248" t="s">
        <v>620</v>
      </c>
      <c r="B58" s="377"/>
      <c r="C58" s="377"/>
      <c r="D58" s="378">
        <f ca="1">SUM(D47:D57)</f>
        <v>6424.6572871314474</v>
      </c>
      <c r="E58" s="379">
        <f ca="1">D58/B3</f>
        <v>0.65092778998292278</v>
      </c>
    </row>
    <row r="60" spans="1:14" ht="17.399999999999999" x14ac:dyDescent="0.3">
      <c r="A60" t="s">
        <v>621</v>
      </c>
      <c r="B60" s="322" t="s">
        <v>622</v>
      </c>
      <c r="C60" t="s">
        <v>623</v>
      </c>
      <c r="D60" t="s">
        <v>624</v>
      </c>
      <c r="G60" s="372" t="s">
        <v>625</v>
      </c>
      <c r="H60" s="372"/>
      <c r="I60" s="372"/>
      <c r="J60" s="372"/>
      <c r="K60" s="372"/>
    </row>
    <row r="61" spans="1:14" x14ac:dyDescent="0.25">
      <c r="A61" s="9" t="s">
        <v>437</v>
      </c>
      <c r="B61" s="376">
        <f>SUMIF(K4:K55,A61,J4:J55)</f>
        <v>2115</v>
      </c>
      <c r="C61" s="308">
        <f ca="1">IF(B61=0,0,HLOOKUP(A61,Gewächshäuser!$B$2:$AA$38,30,0))</f>
        <v>0.33864371313145397</v>
      </c>
      <c r="D61" s="308">
        <f t="shared" ref="D61:D66" ca="1" si="5">C61*B61</f>
        <v>716.23145327302518</v>
      </c>
    </row>
    <row r="62" spans="1:14" x14ac:dyDescent="0.25">
      <c r="A62" s="9" t="s">
        <v>438</v>
      </c>
      <c r="B62" s="376">
        <f>SUMIF(K5:K56,A62,J5:J56)</f>
        <v>21714</v>
      </c>
      <c r="C62" s="308">
        <f ca="1">IF(B62=0,0,HLOOKUP(A62,Gewächshäuser!$B$2:$AA$38,30,0))</f>
        <v>0.74434160095787982</v>
      </c>
      <c r="D62" s="308">
        <f t="shared" ca="1" si="5"/>
        <v>16162.633523199402</v>
      </c>
      <c r="G62" t="s">
        <v>626</v>
      </c>
      <c r="K62" s="310">
        <v>3</v>
      </c>
    </row>
    <row r="63" spans="1:14" x14ac:dyDescent="0.25">
      <c r="A63" s="9"/>
      <c r="B63" s="376">
        <f>SUMIF(K6:K57,A63,J6:J57)</f>
        <v>0</v>
      </c>
      <c r="C63" s="308">
        <f>IF(B63=0,0,HLOOKUP(A63,Gewächshäuser!$B$2:$AA$38,30,0))</f>
        <v>0</v>
      </c>
      <c r="D63" s="308">
        <f t="shared" si="5"/>
        <v>0</v>
      </c>
      <c r="G63" t="s">
        <v>627</v>
      </c>
      <c r="K63">
        <f>C83</f>
        <v>9574</v>
      </c>
      <c r="L63" t="s">
        <v>628</v>
      </c>
      <c r="M63" t="s">
        <v>629</v>
      </c>
      <c r="N63" t="s">
        <v>630</v>
      </c>
    </row>
    <row r="64" spans="1:14" x14ac:dyDescent="0.25">
      <c r="A64" s="9"/>
      <c r="B64" s="376">
        <f>SUMIF(K7:K57,A64,J7:J57)</f>
        <v>0</v>
      </c>
      <c r="C64" s="308">
        <f>IF(B64=0,0,HLOOKUP(A64,Gewächshäuser!$B$2:$AA$38,30,0))</f>
        <v>0</v>
      </c>
      <c r="D64" s="308">
        <f t="shared" si="5"/>
        <v>0</v>
      </c>
      <c r="G64" s="248" t="s">
        <v>631</v>
      </c>
      <c r="H64" s="377"/>
      <c r="I64" s="377"/>
      <c r="J64" s="377"/>
      <c r="K64" s="379">
        <f>K62*K63</f>
        <v>28722</v>
      </c>
      <c r="L64" s="308">
        <f>K64/SUM($B$47:$B$57)</f>
        <v>77.206201064871408</v>
      </c>
      <c r="M64" s="308">
        <f>K64/SUM($B$61:$B$66)</f>
        <v>1.2053380334886064</v>
      </c>
      <c r="N64" s="308">
        <f>K64/$B$3</f>
        <v>2.9100303951367783</v>
      </c>
    </row>
    <row r="65" spans="1:14" x14ac:dyDescent="0.25">
      <c r="A65" s="9"/>
      <c r="B65" s="376">
        <f>SUMIF(K8:K57,A65,J8:J57)</f>
        <v>0</v>
      </c>
      <c r="C65" s="308">
        <f>IF(B65=0,0,HLOOKUP(A65,Gewächshäuser!$B$2:$AA$38,30,0))</f>
        <v>0</v>
      </c>
      <c r="D65" s="308">
        <f t="shared" si="5"/>
        <v>0</v>
      </c>
    </row>
    <row r="66" spans="1:14" x14ac:dyDescent="0.25">
      <c r="A66" s="9"/>
      <c r="B66" s="376">
        <f>SUMIF(K9:K57,A66,J9:J57)</f>
        <v>0</v>
      </c>
      <c r="C66" s="308">
        <f>IF(B66=0,0,HLOOKUP(A66,Gewächshäuser!$B$2:$AA$38,30,0))</f>
        <v>0</v>
      </c>
      <c r="D66" s="308">
        <f t="shared" si="5"/>
        <v>0</v>
      </c>
      <c r="G66" s="31" t="s">
        <v>632</v>
      </c>
      <c r="H66" s="31"/>
      <c r="I66" s="31"/>
      <c r="J66" s="31"/>
      <c r="K66" s="380">
        <f>D22</f>
        <v>6578.9773767431052</v>
      </c>
    </row>
    <row r="67" spans="1:14" x14ac:dyDescent="0.25">
      <c r="A67" s="248" t="s">
        <v>633</v>
      </c>
      <c r="B67" s="377"/>
      <c r="C67" s="377"/>
      <c r="D67" s="378">
        <f ca="1">SUM(D61:D66)</f>
        <v>16878.864976472425</v>
      </c>
      <c r="E67" s="379">
        <f ca="1">D67/B3</f>
        <v>1.7101180320640754</v>
      </c>
      <c r="G67" s="248" t="s">
        <v>634</v>
      </c>
      <c r="H67" s="377"/>
      <c r="I67" s="377"/>
      <c r="J67" s="377"/>
      <c r="K67" s="379">
        <f>K64-K66</f>
        <v>22143.022623256897</v>
      </c>
      <c r="L67" s="308">
        <f>K67/SUM($B$47:$B$57)</f>
        <v>59.521574292708316</v>
      </c>
      <c r="M67" s="308">
        <f>K67/SUM($B$61:$B$66)</f>
        <v>0.92924682627289845</v>
      </c>
      <c r="N67" s="308">
        <f>K67/$B$3</f>
        <v>2.2434673377159977</v>
      </c>
    </row>
    <row r="69" spans="1:14" x14ac:dyDescent="0.25">
      <c r="A69" t="s">
        <v>635</v>
      </c>
      <c r="G69" t="s">
        <v>636</v>
      </c>
      <c r="K69" s="308">
        <f>D41</f>
        <v>0</v>
      </c>
    </row>
    <row r="70" spans="1:14" x14ac:dyDescent="0.25">
      <c r="A70" t="s">
        <v>637</v>
      </c>
      <c r="B70" t="s">
        <v>638</v>
      </c>
      <c r="C70" t="s">
        <v>639</v>
      </c>
      <c r="D70" t="s">
        <v>605</v>
      </c>
      <c r="G70" s="248" t="s">
        <v>640</v>
      </c>
      <c r="H70" s="377"/>
      <c r="I70" s="377"/>
      <c r="J70" s="377"/>
      <c r="K70" s="379">
        <f>K67-K69</f>
        <v>22143.022623256897</v>
      </c>
      <c r="L70" s="308">
        <f>K70/SUM($B$47:$B$57)</f>
        <v>59.521574292708316</v>
      </c>
      <c r="M70" s="308">
        <f>K70/SUM($B$61:$B$66)</f>
        <v>0.92924682627289845</v>
      </c>
      <c r="N70" s="308">
        <f>K70/$B$3</f>
        <v>2.2434673377159977</v>
      </c>
    </row>
    <row r="71" spans="1:14" x14ac:dyDescent="0.25">
      <c r="A71" s="9" t="s">
        <v>441</v>
      </c>
      <c r="B71" s="9">
        <v>30</v>
      </c>
      <c r="C71" s="311">
        <f ca="1">IF(B71&gt;0,HLOOKUP(A71,'EK-Maschinen'!$B$2:$Z$48,41,0),0)</f>
        <v>9.6468304872559809</v>
      </c>
      <c r="D71" s="308">
        <f t="shared" ref="D71:D76" ca="1" si="6">B71*C71</f>
        <v>289.40491461767942</v>
      </c>
    </row>
    <row r="72" spans="1:14" x14ac:dyDescent="0.25">
      <c r="A72" s="9" t="s">
        <v>442</v>
      </c>
      <c r="B72" s="9">
        <v>4</v>
      </c>
      <c r="C72" s="311">
        <f ca="1">IF(B72&gt;0,HLOOKUP(A72,'EK-Maschinen'!$B$2:$Z$48,41,0),0)</f>
        <v>16.171266322275503</v>
      </c>
      <c r="D72" s="308">
        <f t="shared" ca="1" si="6"/>
        <v>64.685065289102013</v>
      </c>
      <c r="G72" t="s">
        <v>641</v>
      </c>
      <c r="K72" s="308">
        <f ca="1">D58+D67+D77</f>
        <v>23819.324906733411</v>
      </c>
    </row>
    <row r="73" spans="1:14" x14ac:dyDescent="0.25">
      <c r="A73" s="9" t="s">
        <v>442</v>
      </c>
      <c r="B73" s="9">
        <v>10</v>
      </c>
      <c r="C73" s="311">
        <f ca="1">IF(B73&gt;0,HLOOKUP(A73,'EK-Maschinen'!$B$2:$Z$48,41,0),0)</f>
        <v>16.171266322275503</v>
      </c>
      <c r="D73" s="308">
        <f t="shared" ca="1" si="6"/>
        <v>161.71266322275503</v>
      </c>
      <c r="G73" s="248" t="s">
        <v>642</v>
      </c>
      <c r="H73" s="377"/>
      <c r="I73" s="377"/>
      <c r="J73" s="377"/>
      <c r="K73" s="379">
        <f ca="1">K70-K72</f>
        <v>-1676.3022834765143</v>
      </c>
      <c r="L73" s="308">
        <f ca="1">K73/SUM($B$47:$B$57)</f>
        <v>-4.5059860435760335</v>
      </c>
      <c r="M73" s="308">
        <f ca="1">K73/SUM($B$61:$B$66)</f>
        <v>-7.0347151935730171E-2</v>
      </c>
      <c r="N73" s="308">
        <f ca="1">K73/$B$3</f>
        <v>-0.16983812395911999</v>
      </c>
    </row>
    <row r="74" spans="1:14" x14ac:dyDescent="0.25">
      <c r="A74" s="9"/>
      <c r="B74" s="9"/>
      <c r="C74" s="311">
        <f>IF(B74&gt;0,HLOOKUP(A74,'EK-Maschinen'!$B$2:$Z$48,41,0),0)</f>
        <v>0</v>
      </c>
      <c r="D74" s="308">
        <f t="shared" si="6"/>
        <v>0</v>
      </c>
    </row>
    <row r="75" spans="1:14" x14ac:dyDescent="0.25">
      <c r="A75" s="9"/>
      <c r="B75" s="9"/>
      <c r="C75" s="311">
        <f>IF(B75&gt;0,HLOOKUP(A75,'EK-Maschinen'!$B$2:$Z$48,41,0),0)</f>
        <v>0</v>
      </c>
      <c r="D75" s="308">
        <f t="shared" si="6"/>
        <v>0</v>
      </c>
    </row>
    <row r="76" spans="1:14" x14ac:dyDescent="0.25">
      <c r="A76" s="9"/>
      <c r="B76" s="9"/>
      <c r="C76" s="311">
        <f>IF(B76&gt;0,HLOOKUP(A76,'EK-Maschinen'!$B$2:$Z$48,41,0),0)</f>
        <v>0</v>
      </c>
      <c r="D76" s="308">
        <f t="shared" si="6"/>
        <v>0</v>
      </c>
    </row>
    <row r="77" spans="1:14" x14ac:dyDescent="0.25">
      <c r="A77" s="248" t="s">
        <v>643</v>
      </c>
      <c r="B77" s="377"/>
      <c r="C77" s="377"/>
      <c r="D77" s="378">
        <f ca="1">SUM(D71:D76)</f>
        <v>515.80264312953648</v>
      </c>
      <c r="E77" s="381">
        <f ca="1">D77/B3</f>
        <v>5.2259639628119199E-2</v>
      </c>
    </row>
    <row r="79" spans="1:14" x14ac:dyDescent="0.25">
      <c r="A79" s="248" t="s">
        <v>644</v>
      </c>
      <c r="B79" s="377"/>
      <c r="C79" s="377"/>
      <c r="D79" s="378">
        <f ca="1">D22+D41+D58+D67+D77</f>
        <v>30398.302283476514</v>
      </c>
      <c r="E79" s="379">
        <f ca="1">D79/B3</f>
        <v>3.0798685190958981</v>
      </c>
    </row>
    <row r="81" spans="1:14" ht="17.399999999999999" x14ac:dyDescent="0.3">
      <c r="G81" s="372" t="s">
        <v>645</v>
      </c>
      <c r="H81" s="372"/>
      <c r="I81" s="372"/>
      <c r="J81" s="372"/>
      <c r="K81" s="372"/>
    </row>
    <row r="82" spans="1:14" x14ac:dyDescent="0.25">
      <c r="A82" s="96" t="s">
        <v>646</v>
      </c>
      <c r="B82" s="53">
        <v>0.03</v>
      </c>
      <c r="D82" s="385" t="s">
        <v>647</v>
      </c>
      <c r="E82" s="385"/>
    </row>
    <row r="83" spans="1:14" x14ac:dyDescent="0.25">
      <c r="A83" s="108" t="s">
        <v>648</v>
      </c>
      <c r="C83">
        <f>ROUND(B3-B3*B82,0)</f>
        <v>9574</v>
      </c>
      <c r="D83" t="s">
        <v>600</v>
      </c>
      <c r="E83" s="379">
        <f ca="1">D79/C83</f>
        <v>3.1750890206263334</v>
      </c>
      <c r="G83" s="382">
        <f ca="1">E83</f>
        <v>3.1750890206263334</v>
      </c>
      <c r="H83" s="377"/>
      <c r="I83" s="386" t="s">
        <v>649</v>
      </c>
      <c r="J83" s="386"/>
      <c r="K83" s="386"/>
      <c r="L83" s="386"/>
      <c r="M83" s="386"/>
      <c r="N83" s="386"/>
    </row>
    <row r="84" spans="1:14" x14ac:dyDescent="0.25">
      <c r="A84" t="s">
        <v>650</v>
      </c>
    </row>
    <row r="85" spans="1:14" x14ac:dyDescent="0.25">
      <c r="A85" t="s">
        <v>651</v>
      </c>
      <c r="B85" s="308">
        <f ca="1">GuV!B47</f>
        <v>506298.95650524291</v>
      </c>
      <c r="C85" s="383">
        <f ca="1">GuV!C47*100</f>
        <v>73.941238023635862</v>
      </c>
      <c r="D85" s="308"/>
    </row>
    <row r="86" spans="1:14" x14ac:dyDescent="0.25">
      <c r="A86" t="s">
        <v>652</v>
      </c>
      <c r="B86" s="308">
        <f ca="1">GuV!B48</f>
        <v>178432.55467583938</v>
      </c>
      <c r="C86" s="383">
        <f ca="1">GuV!C48*100</f>
        <v>26.058761976364131</v>
      </c>
    </row>
    <row r="87" spans="1:14" x14ac:dyDescent="0.25">
      <c r="A87" t="s">
        <v>97</v>
      </c>
      <c r="B87" s="308">
        <f ca="1">SUM(B85:B86)</f>
        <v>684731.51118108234</v>
      </c>
      <c r="C87">
        <v>100</v>
      </c>
      <c r="G87" s="382">
        <f ca="1">(D79+D79/B85*GuV!B49)/C83</f>
        <v>3.6900029364063425</v>
      </c>
      <c r="H87" s="377"/>
      <c r="I87" s="386" t="s">
        <v>653</v>
      </c>
      <c r="J87" s="386"/>
      <c r="K87" s="386"/>
      <c r="L87" s="386"/>
      <c r="M87" s="386"/>
      <c r="N87" s="386"/>
    </row>
    <row r="88" spans="1:14" x14ac:dyDescent="0.25">
      <c r="A88" s="248" t="s">
        <v>650</v>
      </c>
      <c r="B88" s="377"/>
      <c r="C88" s="377"/>
      <c r="D88" s="378">
        <f ca="1">D79/C85*C86</f>
        <v>10713.130383852467</v>
      </c>
      <c r="E88" s="379">
        <f ca="1">D88/B3</f>
        <v>1.0854235444632692</v>
      </c>
    </row>
    <row r="90" spans="1:14" x14ac:dyDescent="0.25">
      <c r="A90" s="248" t="s">
        <v>434</v>
      </c>
      <c r="B90" s="377"/>
      <c r="C90" s="377"/>
      <c r="D90" s="378">
        <f ca="1">D79+D88</f>
        <v>41111.432667328983</v>
      </c>
      <c r="E90" s="379">
        <f ca="1">D90/C83</f>
        <v>4.2940706775985991</v>
      </c>
      <c r="G90" s="382">
        <f ca="1">(D79+D79/B85*GuV!B49+D79/B85*GuV!B50)/C83</f>
        <v>4.2940706775985991</v>
      </c>
      <c r="H90" s="377"/>
      <c r="I90" s="386" t="s">
        <v>654</v>
      </c>
      <c r="J90" s="386"/>
      <c r="K90" s="386"/>
      <c r="L90" s="386"/>
      <c r="M90" s="386"/>
      <c r="N90" s="386"/>
    </row>
    <row r="92" spans="1:14" x14ac:dyDescent="0.25">
      <c r="A92" s="248" t="s">
        <v>655</v>
      </c>
      <c r="B92" s="384">
        <v>0.1</v>
      </c>
      <c r="C92" s="377"/>
      <c r="D92" s="378">
        <f ca="1">D90*B92</f>
        <v>4111.1432667328982</v>
      </c>
      <c r="E92" s="379">
        <f ca="1">D92/B3</f>
        <v>0.41652920635591673</v>
      </c>
    </row>
    <row r="94" spans="1:14" x14ac:dyDescent="0.25">
      <c r="A94" s="248" t="s">
        <v>656</v>
      </c>
      <c r="B94" s="377"/>
      <c r="C94" s="377"/>
      <c r="D94" s="378">
        <f ca="1">D90+D92</f>
        <v>45222.575934061882</v>
      </c>
      <c r="E94" s="379">
        <f ca="1">D94/C83</f>
        <v>4.7234777453584584</v>
      </c>
      <c r="G94" s="382">
        <f ca="1">E94</f>
        <v>4.7234777453584584</v>
      </c>
      <c r="H94" s="377"/>
      <c r="I94" s="386" t="s">
        <v>657</v>
      </c>
      <c r="J94" s="386"/>
      <c r="K94" s="386"/>
      <c r="L94" s="386"/>
      <c r="M94" s="386"/>
      <c r="N94" s="386"/>
    </row>
  </sheetData>
  <sheetProtection algorithmName="SHA-512" hashValue="VwwqGCUglSDl1ylf2fxQv6ifFHrt5yjsy7GEavt0LCuXDgb17URkJGXPvPGcdMbfWRI4cfjoV0BOqbWuoYwl9Q==" saltValue="w1I2sXOw2BlnGRETc3xIAA==" spinCount="100000" sheet="1" objects="1" scenarios="1" selectLockedCells="1"/>
  <mergeCells count="5">
    <mergeCell ref="D82:E82"/>
    <mergeCell ref="I83:N83"/>
    <mergeCell ref="I87:N87"/>
    <mergeCell ref="I90:N90"/>
    <mergeCell ref="I94:N94"/>
  </mergeCells>
  <dataValidations count="4">
    <dataValidation type="list" allowBlank="1" showErrorMessage="1" sqref="A71:A76">
      <formula1>Maschinen</formula1>
    </dataValidation>
    <dataValidation type="list" allowBlank="1" showErrorMessage="1" sqref="A8:A17">
      <formula1>Material</formula1>
    </dataValidation>
    <dataValidation type="list" allowBlank="1" showErrorMessage="1" sqref="A31:A40 L4:L55 A47:A57">
      <formula1>Arbeitsleistungen</formula1>
    </dataValidation>
    <dataValidation type="list" allowBlank="1" showErrorMessage="1" sqref="K4:K55 A61:A66">
      <formula1>Gewächshaus</formula1>
    </dataValidation>
  </dataValidation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baseColWidth="10" defaultRowHeight="13.8" x14ac:dyDescent="0.25"/>
  <cols>
    <col min="1" max="1" width="13" customWidth="1"/>
    <col min="2" max="2" width="11.19921875" customWidth="1"/>
    <col min="3" max="3" width="7.296875" customWidth="1"/>
    <col min="4" max="4" width="6.69921875" customWidth="1"/>
    <col min="5" max="5" width="6.59765625" customWidth="1"/>
    <col min="6" max="6" width="6.296875" customWidth="1"/>
    <col min="7" max="7" width="3.19921875" customWidth="1"/>
    <col min="8" max="8" width="3.796875" customWidth="1"/>
    <col min="9" max="9" width="3.69921875" customWidth="1"/>
    <col min="10" max="11" width="3.19921875" customWidth="1"/>
    <col min="12" max="13" width="8.59765625" hidden="1" customWidth="1"/>
    <col min="14" max="1024" width="7.8984375" customWidth="1"/>
  </cols>
  <sheetData>
    <row r="1" spans="1:13" ht="17.399999999999999" x14ac:dyDescent="0.3">
      <c r="A1" s="10" t="s">
        <v>50</v>
      </c>
      <c r="B1" s="57" t="str">
        <f>Allgemein!C30</f>
        <v>H. B. Nichts, Gartenbau</v>
      </c>
      <c r="C1" s="57"/>
      <c r="D1" s="57"/>
      <c r="E1" s="57"/>
      <c r="F1" s="57"/>
      <c r="G1" s="57"/>
      <c r="H1" s="57"/>
      <c r="I1" s="57"/>
      <c r="J1" s="57"/>
      <c r="K1" s="57"/>
    </row>
    <row r="2" spans="1:13" x14ac:dyDescent="0.25">
      <c r="B2" s="11"/>
    </row>
    <row r="3" spans="1:13" ht="17.399999999999999" x14ac:dyDescent="0.3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3" x14ac:dyDescent="0.25">
      <c r="A5" s="12" t="s">
        <v>52</v>
      </c>
      <c r="B5" s="13"/>
      <c r="C5" s="12" t="s">
        <v>53</v>
      </c>
      <c r="D5" s="13"/>
      <c r="E5" s="13"/>
      <c r="F5" s="12" t="s">
        <v>54</v>
      </c>
      <c r="G5" s="13"/>
      <c r="H5" s="13"/>
      <c r="I5" s="12" t="s">
        <v>55</v>
      </c>
      <c r="J5" s="13"/>
      <c r="K5" s="14"/>
    </row>
    <row r="6" spans="1:13" x14ac:dyDescent="0.25">
      <c r="A6" s="15"/>
      <c r="B6" s="16"/>
      <c r="C6" s="15" t="s">
        <v>56</v>
      </c>
      <c r="D6" s="16" t="s">
        <v>57</v>
      </c>
      <c r="E6" s="16" t="s">
        <v>58</v>
      </c>
      <c r="F6" s="17" t="s">
        <v>56</v>
      </c>
      <c r="G6" s="16" t="s">
        <v>57</v>
      </c>
      <c r="H6" s="16" t="s">
        <v>58</v>
      </c>
      <c r="I6" s="17" t="s">
        <v>56</v>
      </c>
      <c r="J6" s="16" t="s">
        <v>57</v>
      </c>
      <c r="K6" s="18" t="s">
        <v>58</v>
      </c>
    </row>
    <row r="7" spans="1:13" x14ac:dyDescent="0.25">
      <c r="A7" s="15" t="s">
        <v>59</v>
      </c>
      <c r="B7" s="16"/>
      <c r="C7" s="19">
        <f>INT(Gewächshäuser!$F$12/10000)</f>
        <v>1</v>
      </c>
      <c r="D7" s="20">
        <f>INT((Gewächshäuser!$F$12-(C7*10000))/100)</f>
        <v>20</v>
      </c>
      <c r="E7" s="20">
        <f>INT((Gewächshäuser!$F$12-(C7*10000+D7*100)))</f>
        <v>0</v>
      </c>
      <c r="F7" s="17"/>
      <c r="G7" s="16"/>
      <c r="H7" s="16"/>
      <c r="I7" s="17"/>
      <c r="J7" s="16"/>
      <c r="K7" s="18"/>
      <c r="L7" s="21">
        <f>C7*10000+D7*100+E7</f>
        <v>12000</v>
      </c>
      <c r="M7" s="21" t="s">
        <v>60</v>
      </c>
    </row>
    <row r="8" spans="1:13" x14ac:dyDescent="0.25">
      <c r="A8" s="15" t="s">
        <v>61</v>
      </c>
      <c r="B8" s="16" t="s">
        <v>62</v>
      </c>
      <c r="C8" s="22">
        <v>1</v>
      </c>
      <c r="D8" s="23">
        <v>20</v>
      </c>
      <c r="E8" s="23">
        <v>0</v>
      </c>
      <c r="F8" s="22">
        <v>1</v>
      </c>
      <c r="G8" s="23">
        <v>0</v>
      </c>
      <c r="H8" s="24">
        <v>0</v>
      </c>
      <c r="I8" s="25">
        <f>INT((L8-M8)/10000)</f>
        <v>0</v>
      </c>
      <c r="J8" s="16">
        <f>INT(((L8-M8)-(I8*10000))/100)</f>
        <v>20</v>
      </c>
      <c r="K8" s="18">
        <f>INT(((L8-M8)-(I8*10000+J8*100)))</f>
        <v>0</v>
      </c>
      <c r="L8" s="21">
        <f>C8*10000+D8*100+E8</f>
        <v>12000</v>
      </c>
      <c r="M8" s="21">
        <f>F8*10000+G8*100+H8</f>
        <v>10000</v>
      </c>
    </row>
    <row r="9" spans="1:13" x14ac:dyDescent="0.25">
      <c r="B9" s="16" t="s">
        <v>63</v>
      </c>
      <c r="C9" s="22"/>
      <c r="D9" s="23"/>
      <c r="E9" s="23"/>
      <c r="F9" s="22"/>
      <c r="G9" s="23"/>
      <c r="H9" s="24"/>
      <c r="I9" s="25">
        <f>INT((L9-M9)/10000)</f>
        <v>0</v>
      </c>
      <c r="J9" s="16">
        <f>INT(((L9-M9)-(I9*10000))/100)</f>
        <v>0</v>
      </c>
      <c r="K9" s="18">
        <f>INT(((L9-M9)-(I9*10000+J9*100)))</f>
        <v>0</v>
      </c>
      <c r="L9" s="21">
        <f>C9*10000+D9*100+E9</f>
        <v>0</v>
      </c>
      <c r="M9" s="21">
        <f>F9*10000+G9*100+H9</f>
        <v>0</v>
      </c>
    </row>
    <row r="10" spans="1:13" x14ac:dyDescent="0.25">
      <c r="A10" s="15"/>
      <c r="B10" s="16" t="s">
        <v>64</v>
      </c>
      <c r="C10" s="26">
        <f>INT(L10/10000)</f>
        <v>0</v>
      </c>
      <c r="D10" s="16">
        <f>INT((L10-(C10*10000))/100)</f>
        <v>0</v>
      </c>
      <c r="E10" s="16">
        <f>INT((L10-(C10*10000+D10*100)))</f>
        <v>0</v>
      </c>
      <c r="F10" s="22"/>
      <c r="G10" s="23"/>
      <c r="H10" s="24">
        <v>0</v>
      </c>
      <c r="I10" s="25">
        <f>INT((L10-M10)/10000)</f>
        <v>0</v>
      </c>
      <c r="J10" s="16">
        <f>INT(((L10-M10)-(I10*10000))/100)</f>
        <v>0</v>
      </c>
      <c r="K10" s="18">
        <f>INT(((L10-M10)-(I10*10000+J10*100)))</f>
        <v>0</v>
      </c>
      <c r="L10" s="21">
        <f>L7-L8-L9</f>
        <v>0</v>
      </c>
      <c r="M10" s="21">
        <f>F10*10000+G10*100+H10</f>
        <v>0</v>
      </c>
    </row>
    <row r="11" spans="1:13" x14ac:dyDescent="0.25">
      <c r="A11" s="15" t="s">
        <v>65</v>
      </c>
      <c r="B11" s="16"/>
      <c r="C11" s="15"/>
      <c r="D11" s="16"/>
      <c r="E11" s="16"/>
      <c r="F11" s="17">
        <f t="shared" ref="F11:K11" si="0">SUM(F8:F10)</f>
        <v>1</v>
      </c>
      <c r="G11" s="16">
        <f t="shared" si="0"/>
        <v>0</v>
      </c>
      <c r="H11" s="27">
        <f t="shared" si="0"/>
        <v>0</v>
      </c>
      <c r="I11" s="25">
        <f t="shared" si="0"/>
        <v>0</v>
      </c>
      <c r="J11" s="16">
        <f t="shared" si="0"/>
        <v>20</v>
      </c>
      <c r="K11" s="18">
        <f t="shared" si="0"/>
        <v>0</v>
      </c>
      <c r="L11" s="21">
        <f>F11*10000+G11*100+H11</f>
        <v>10000</v>
      </c>
    </row>
    <row r="12" spans="1:13" x14ac:dyDescent="0.25">
      <c r="A12" s="15" t="s">
        <v>66</v>
      </c>
      <c r="B12" s="16"/>
      <c r="C12" s="19">
        <f>INT(Gewächshäuser!$K$8/10000)</f>
        <v>0</v>
      </c>
      <c r="D12" s="20">
        <f>INT((Gewächshäuser!$K$8-(C12*10000))/100)</f>
        <v>0</v>
      </c>
      <c r="E12" s="20">
        <f>INT((Gewächshäuser!$K$8-(C12*10000+D12*100)))</f>
        <v>0</v>
      </c>
      <c r="F12" s="17"/>
      <c r="G12" s="16"/>
      <c r="H12" s="16"/>
      <c r="I12" s="17"/>
      <c r="J12" s="16"/>
      <c r="K12" s="18"/>
      <c r="L12" s="21">
        <f>C12*10000+D12*100+E12</f>
        <v>0</v>
      </c>
    </row>
    <row r="13" spans="1:13" x14ac:dyDescent="0.25">
      <c r="A13" s="15" t="s">
        <v>67</v>
      </c>
      <c r="B13" s="16" t="s">
        <v>68</v>
      </c>
      <c r="C13" s="22"/>
      <c r="D13" s="23">
        <v>0</v>
      </c>
      <c r="E13" s="23"/>
      <c r="F13" s="22"/>
      <c r="G13" s="23">
        <v>0</v>
      </c>
      <c r="H13" s="24"/>
      <c r="I13" s="25">
        <f>INT((L13-M13)/10000)</f>
        <v>0</v>
      </c>
      <c r="J13" s="16">
        <f>INT(((L13-M13)-(I13*10000))/100)</f>
        <v>0</v>
      </c>
      <c r="K13" s="18">
        <f>INT(((L13-M13)-(I13*10000+J13*100)))</f>
        <v>0</v>
      </c>
      <c r="L13" s="21">
        <f>C13*10000+D13*100+E13</f>
        <v>0</v>
      </c>
      <c r="M13" s="21">
        <f>F13*10000+G13*100+H13</f>
        <v>0</v>
      </c>
    </row>
    <row r="14" spans="1:13" x14ac:dyDescent="0.25">
      <c r="B14" s="16" t="s">
        <v>69</v>
      </c>
      <c r="C14" s="22"/>
      <c r="D14" s="23">
        <v>0</v>
      </c>
      <c r="E14" s="23">
        <v>0</v>
      </c>
      <c r="F14" s="22"/>
      <c r="G14" s="23"/>
      <c r="H14" s="24"/>
      <c r="I14" s="25">
        <f>INT((L14-M14)/10000)</f>
        <v>0</v>
      </c>
      <c r="J14" s="16">
        <f>INT(((L14-M14)-(I14*10000))/100)</f>
        <v>0</v>
      </c>
      <c r="K14" s="18">
        <f>INT(((L14-M14)-(I14*10000+J14*100)))</f>
        <v>0</v>
      </c>
      <c r="L14" s="21">
        <f>C14*10000+D14*100+E14</f>
        <v>0</v>
      </c>
      <c r="M14" s="21">
        <f>F14*10000+G14*100+H14</f>
        <v>0</v>
      </c>
    </row>
    <row r="15" spans="1:13" x14ac:dyDescent="0.25">
      <c r="A15" s="16"/>
      <c r="B15" s="16" t="s">
        <v>70</v>
      </c>
      <c r="C15" s="26">
        <f>INT(L15/10000)</f>
        <v>0</v>
      </c>
      <c r="D15" s="16">
        <f>INT((L15-(C15*10000))/100)</f>
        <v>0</v>
      </c>
      <c r="E15" s="16">
        <f>INT((L15-(C15*10000+D15*100)))</f>
        <v>0</v>
      </c>
      <c r="F15" s="28"/>
      <c r="G15" s="28"/>
      <c r="H15" s="29"/>
      <c r="I15" s="30">
        <f>INT((L15-M15)/10000)</f>
        <v>0</v>
      </c>
      <c r="J15" s="31">
        <f>INT(((L15-M15)-(I15*10000))/100)</f>
        <v>0</v>
      </c>
      <c r="K15" s="32">
        <f>INT(((L15-M15)-(I15*10000+J15*100)))</f>
        <v>0</v>
      </c>
      <c r="L15" s="21">
        <f>L12-L13-L14</f>
        <v>0</v>
      </c>
      <c r="M15" s="21">
        <f>F15*10000+G15*100+H15</f>
        <v>0</v>
      </c>
    </row>
    <row r="16" spans="1:13" x14ac:dyDescent="0.25">
      <c r="A16" s="15"/>
      <c r="B16" s="16"/>
      <c r="C16" s="17"/>
      <c r="D16" s="16"/>
      <c r="E16" s="18"/>
      <c r="F16" s="33" t="str">
        <f>IF(L10&lt;0,"Hochglas"," ")</f>
        <v xml:space="preserve"> </v>
      </c>
      <c r="L16" s="21"/>
    </row>
    <row r="17" spans="1:12" x14ac:dyDescent="0.25">
      <c r="A17" s="15" t="s">
        <v>71</v>
      </c>
      <c r="C17" s="19">
        <f>INT((Boden!$G$6-Gewächshäuser!$F$12-Gewächshäuser!$K$8)/10000)</f>
        <v>1</v>
      </c>
      <c r="D17" s="20">
        <f>INT(((Boden!$G$6-Gewächshäuser!$F$12-Gewächshäuser!$K$8)-(C17*10000))/100)</f>
        <v>30</v>
      </c>
      <c r="E17" s="20">
        <f>INT(((Boden!$G$6-Gewächshäuser!$F$12-Gewächshäuser!$K$8)-(C17*10000+D17*100)))</f>
        <v>0</v>
      </c>
      <c r="F17" s="33" t="str">
        <f>IF(L10&lt;0,"Flächenangaben nicht korrekt!"," ")</f>
        <v xml:space="preserve"> </v>
      </c>
      <c r="L17" s="21">
        <f t="shared" ref="L17:L22" si="1">C17*10000+D17*100+E17</f>
        <v>13000</v>
      </c>
    </row>
    <row r="18" spans="1:12" x14ac:dyDescent="0.25">
      <c r="A18" s="15" t="s">
        <v>72</v>
      </c>
      <c r="B18" s="16" t="s">
        <v>73</v>
      </c>
      <c r="C18" s="22"/>
      <c r="D18" s="23"/>
      <c r="E18" s="24">
        <v>0</v>
      </c>
      <c r="L18" s="21">
        <f t="shared" si="1"/>
        <v>0</v>
      </c>
    </row>
    <row r="19" spans="1:12" x14ac:dyDescent="0.25">
      <c r="B19" s="16" t="s">
        <v>74</v>
      </c>
      <c r="C19" s="22">
        <v>0</v>
      </c>
      <c r="D19" s="23"/>
      <c r="E19" s="24"/>
      <c r="F19" s="33" t="str">
        <f>IF(L15&lt;0,"Niederglas"," ")</f>
        <v xml:space="preserve"> </v>
      </c>
      <c r="L19" s="21">
        <f t="shared" si="1"/>
        <v>0</v>
      </c>
    </row>
    <row r="20" spans="1:12" x14ac:dyDescent="0.25">
      <c r="A20" s="15"/>
      <c r="B20" s="16" t="s">
        <v>75</v>
      </c>
      <c r="C20" s="22"/>
      <c r="D20" s="23"/>
      <c r="E20" s="24"/>
      <c r="F20" s="33" t="str">
        <f>IF(L15&lt;0,"Flächenangaben nicht korrekt!"," ")</f>
        <v xml:space="preserve"> </v>
      </c>
      <c r="L20" s="21">
        <f t="shared" si="1"/>
        <v>0</v>
      </c>
    </row>
    <row r="21" spans="1:12" x14ac:dyDescent="0.25">
      <c r="A21" s="15"/>
      <c r="B21" s="16" t="s">
        <v>76</v>
      </c>
      <c r="C21" s="22">
        <v>0</v>
      </c>
      <c r="D21" s="23">
        <v>0</v>
      </c>
      <c r="E21" s="24">
        <v>0</v>
      </c>
      <c r="L21" s="21">
        <f t="shared" si="1"/>
        <v>0</v>
      </c>
    </row>
    <row r="22" spans="1:12" x14ac:dyDescent="0.25">
      <c r="A22" s="34" t="s">
        <v>77</v>
      </c>
      <c r="B22" s="16"/>
      <c r="C22" s="22"/>
      <c r="D22" s="23"/>
      <c r="E22" s="24"/>
      <c r="F22" s="33" t="str">
        <f>IF(L23&lt;0,"Freiland"," ")</f>
        <v xml:space="preserve"> </v>
      </c>
      <c r="L22" s="21">
        <f t="shared" si="1"/>
        <v>0</v>
      </c>
    </row>
    <row r="23" spans="1:12" x14ac:dyDescent="0.25">
      <c r="A23" s="15" t="s">
        <v>78</v>
      </c>
      <c r="B23" s="16"/>
      <c r="C23" s="26">
        <f>INT(L23/10000)</f>
        <v>1</v>
      </c>
      <c r="D23" s="16">
        <f>INT((L23-(C23*10000))/100)</f>
        <v>30</v>
      </c>
      <c r="E23" s="16">
        <f>INT((L23-(C23*10000+D23*100)))</f>
        <v>0</v>
      </c>
      <c r="F23" s="33" t="str">
        <f>IF(L23&lt;0,"Flächenangaben nicht korrekt!"," ")</f>
        <v xml:space="preserve"> </v>
      </c>
      <c r="L23" s="21">
        <f>L17-SUM(L18:L22)</f>
        <v>13000</v>
      </c>
    </row>
    <row r="24" spans="1:12" x14ac:dyDescent="0.25">
      <c r="A24" s="35" t="s">
        <v>79</v>
      </c>
      <c r="B24" s="36"/>
      <c r="C24" s="26">
        <f>INT(L24/10000)</f>
        <v>2</v>
      </c>
      <c r="D24" s="16">
        <f>INT((L24-(C24*10000))/100)</f>
        <v>50</v>
      </c>
      <c r="E24" s="16">
        <f>INT((L24-(C24*10000+D24*100)))</f>
        <v>0</v>
      </c>
      <c r="L24" s="21">
        <f>SUM(L8:L10)+SUM(L13:L15)+SUM(L18:L23)</f>
        <v>25000</v>
      </c>
    </row>
    <row r="25" spans="1:12" x14ac:dyDescent="0.25">
      <c r="A25" s="37" t="s">
        <v>80</v>
      </c>
      <c r="B25" s="31"/>
      <c r="C25" s="38">
        <v>0</v>
      </c>
      <c r="D25" s="28">
        <v>0</v>
      </c>
      <c r="E25" s="29">
        <v>0</v>
      </c>
      <c r="L25" s="21">
        <f>C25*10000+D25*100+E25</f>
        <v>0</v>
      </c>
    </row>
    <row r="27" spans="1:12" x14ac:dyDescent="0.25">
      <c r="A27" s="12" t="s">
        <v>81</v>
      </c>
      <c r="B27" s="13"/>
      <c r="C27" s="39"/>
      <c r="D27" s="39"/>
      <c r="E27" s="40"/>
      <c r="F27" s="41"/>
      <c r="G27" s="42"/>
      <c r="H27" s="42"/>
      <c r="I27" s="42"/>
      <c r="J27" s="42"/>
      <c r="K27" s="42"/>
      <c r="L27" s="42"/>
    </row>
    <row r="28" spans="1:12" x14ac:dyDescent="0.25">
      <c r="A28" s="15"/>
      <c r="B28" s="16"/>
      <c r="C28" s="43"/>
      <c r="D28" s="43"/>
      <c r="E28" s="44"/>
      <c r="F28" s="42"/>
      <c r="G28" s="42"/>
      <c r="H28" s="42"/>
      <c r="I28" s="42"/>
      <c r="J28" s="42"/>
      <c r="K28" s="42"/>
      <c r="L28" s="42"/>
    </row>
    <row r="29" spans="1:12" x14ac:dyDescent="0.25">
      <c r="A29" s="59" t="s">
        <v>82</v>
      </c>
      <c r="B29" s="59"/>
      <c r="C29" s="60">
        <f>Lohnansatz!B7</f>
        <v>1</v>
      </c>
      <c r="D29" s="60"/>
      <c r="E29" s="44"/>
      <c r="F29" s="42"/>
      <c r="G29" s="42"/>
      <c r="H29" s="42"/>
      <c r="I29" s="42"/>
      <c r="J29" s="42"/>
      <c r="K29" s="42"/>
      <c r="L29" s="42"/>
    </row>
    <row r="30" spans="1:12" x14ac:dyDescent="0.25">
      <c r="A30" s="59" t="s">
        <v>83</v>
      </c>
      <c r="B30" s="59"/>
      <c r="C30" s="60">
        <f>Lohnansatz!G7-Lohnansatz!B7</f>
        <v>0.5</v>
      </c>
      <c r="D30" s="60"/>
      <c r="E30" s="44"/>
      <c r="F30" s="42"/>
      <c r="G30" s="42"/>
      <c r="H30" s="42"/>
      <c r="I30" s="42"/>
      <c r="J30" s="42"/>
      <c r="K30" s="42"/>
      <c r="L30" s="42"/>
    </row>
    <row r="31" spans="1:12" x14ac:dyDescent="0.25">
      <c r="A31" s="15" t="s">
        <v>84</v>
      </c>
      <c r="B31" s="46"/>
      <c r="C31" s="60">
        <f>Lohnansatz!G7</f>
        <v>1.5</v>
      </c>
      <c r="D31" s="60"/>
      <c r="E31" s="44"/>
      <c r="F31" s="42"/>
      <c r="G31" s="42"/>
      <c r="H31" s="42"/>
      <c r="I31" s="42"/>
      <c r="J31" s="42"/>
      <c r="K31" s="42"/>
      <c r="L31" s="42"/>
    </row>
    <row r="32" spans="1:12" ht="7.5" customHeight="1" x14ac:dyDescent="0.25">
      <c r="A32" s="15"/>
      <c r="B32" s="16"/>
      <c r="C32" s="43"/>
      <c r="D32" s="43"/>
      <c r="E32" s="44"/>
      <c r="F32" s="42"/>
      <c r="G32" s="42"/>
      <c r="H32" s="42"/>
      <c r="I32" s="42"/>
      <c r="J32" s="42"/>
      <c r="K32" s="42"/>
      <c r="L32" s="42"/>
    </row>
    <row r="33" spans="1:12" x14ac:dyDescent="0.25">
      <c r="A33" s="15" t="s">
        <v>85</v>
      </c>
      <c r="B33" s="16"/>
      <c r="C33" s="60">
        <f>Lohnkalk!$L$11</f>
        <v>4.7564102564102564</v>
      </c>
      <c r="D33" s="60"/>
      <c r="E33" s="44"/>
      <c r="F33" s="42"/>
      <c r="G33" s="42"/>
      <c r="H33" s="42"/>
      <c r="I33" s="42"/>
      <c r="J33" s="42"/>
      <c r="K33" s="42"/>
      <c r="L33" s="42"/>
    </row>
    <row r="34" spans="1:12" x14ac:dyDescent="0.25">
      <c r="A34" s="15" t="s">
        <v>86</v>
      </c>
      <c r="B34" s="46"/>
      <c r="C34" s="60">
        <f>C31+C33</f>
        <v>6.2564102564102564</v>
      </c>
      <c r="D34" s="60"/>
      <c r="E34" s="44"/>
      <c r="F34" s="42"/>
      <c r="G34" s="42"/>
      <c r="H34" s="42"/>
      <c r="I34" s="42"/>
      <c r="J34" s="42"/>
      <c r="K34" s="42"/>
      <c r="L34" s="42"/>
    </row>
    <row r="35" spans="1:12" x14ac:dyDescent="0.25">
      <c r="A35" s="47" t="s">
        <v>87</v>
      </c>
      <c r="B35" s="16"/>
      <c r="C35" s="60">
        <f>C31+Lohnkalk!L12</f>
        <v>5.7564102564102564</v>
      </c>
      <c r="D35" s="60"/>
      <c r="E35" s="18"/>
    </row>
    <row r="36" spans="1:12" ht="6.75" customHeight="1" x14ac:dyDescent="0.25">
      <c r="A36" s="47"/>
      <c r="B36" s="16"/>
      <c r="C36" s="45"/>
      <c r="D36" s="45"/>
      <c r="E36" s="18"/>
    </row>
    <row r="37" spans="1:12" x14ac:dyDescent="0.25">
      <c r="A37" s="47" t="s">
        <v>88</v>
      </c>
      <c r="B37" s="46"/>
      <c r="C37" s="61">
        <f>C35/C34</f>
        <v>0.92008196721311475</v>
      </c>
      <c r="D37" s="61"/>
      <c r="E37" s="44"/>
      <c r="F37" s="42"/>
      <c r="G37" s="42"/>
      <c r="H37" s="42"/>
      <c r="I37" s="42"/>
      <c r="J37" s="42"/>
      <c r="K37" s="42"/>
      <c r="L37" s="42"/>
    </row>
    <row r="38" spans="1:12" x14ac:dyDescent="0.25">
      <c r="A38" s="49" t="s">
        <v>89</v>
      </c>
      <c r="B38" s="50"/>
      <c r="C38" s="62">
        <f>1-C37</f>
        <v>7.9918032786885251E-2</v>
      </c>
      <c r="D38" s="62"/>
      <c r="E38" s="52"/>
      <c r="F38" s="42"/>
      <c r="G38" s="42"/>
      <c r="H38" s="42"/>
      <c r="I38" s="42"/>
      <c r="J38" s="42"/>
      <c r="K38" s="42"/>
      <c r="L38" s="42"/>
    </row>
    <row r="39" spans="1:12" x14ac:dyDescent="0.25">
      <c r="A39" s="11"/>
      <c r="B39" s="46"/>
      <c r="C39" s="45"/>
      <c r="D39" s="45"/>
      <c r="E39" s="42"/>
      <c r="F39" s="42"/>
      <c r="G39" s="42"/>
      <c r="H39" s="42"/>
      <c r="I39" s="42"/>
      <c r="J39" s="42"/>
      <c r="K39" s="42"/>
      <c r="L39" s="42"/>
    </row>
    <row r="40" spans="1:12" x14ac:dyDescent="0.25"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x14ac:dyDescent="0.25">
      <c r="A41" s="12" t="s">
        <v>90</v>
      </c>
      <c r="B41" s="13"/>
      <c r="C41" s="63" t="s">
        <v>91</v>
      </c>
      <c r="D41" s="63"/>
      <c r="E41" s="63"/>
    </row>
    <row r="42" spans="1:12" x14ac:dyDescent="0.25">
      <c r="A42" s="59" t="s">
        <v>92</v>
      </c>
      <c r="B42" s="59"/>
      <c r="C42" s="17"/>
      <c r="D42" s="53">
        <v>0</v>
      </c>
      <c r="E42" s="18"/>
    </row>
    <row r="43" spans="1:12" x14ac:dyDescent="0.25">
      <c r="A43" s="59" t="s">
        <v>93</v>
      </c>
      <c r="B43" s="59"/>
      <c r="C43" s="17"/>
      <c r="D43" s="53">
        <v>0.5</v>
      </c>
      <c r="E43" s="18"/>
    </row>
    <row r="44" spans="1:12" x14ac:dyDescent="0.25">
      <c r="A44" s="59" t="s">
        <v>94</v>
      </c>
      <c r="B44" s="59"/>
      <c r="C44" s="17"/>
      <c r="D44" s="53">
        <v>0</v>
      </c>
      <c r="E44" s="18"/>
    </row>
    <row r="45" spans="1:12" x14ac:dyDescent="0.25">
      <c r="A45" s="59" t="s">
        <v>95</v>
      </c>
      <c r="B45" s="59"/>
      <c r="C45" s="17"/>
      <c r="D45" s="53">
        <v>0.5</v>
      </c>
      <c r="E45" s="18"/>
    </row>
    <row r="46" spans="1:12" x14ac:dyDescent="0.25">
      <c r="A46" s="59" t="s">
        <v>96</v>
      </c>
      <c r="B46" s="59"/>
      <c r="C46" s="17"/>
      <c r="D46" s="53">
        <v>0</v>
      </c>
      <c r="E46" s="18"/>
    </row>
    <row r="47" spans="1:12" x14ac:dyDescent="0.25">
      <c r="A47" s="35" t="s">
        <v>97</v>
      </c>
      <c r="B47" s="36"/>
      <c r="C47" s="54"/>
      <c r="D47" s="55">
        <f>SUM(D42:D46)</f>
        <v>1</v>
      </c>
      <c r="E47" s="56"/>
    </row>
  </sheetData>
  <sheetProtection sheet="1" objects="1" scenarios="1"/>
  <mergeCells count="18">
    <mergeCell ref="C41:E41"/>
    <mergeCell ref="A42:B42"/>
    <mergeCell ref="A43:B43"/>
    <mergeCell ref="A44:B44"/>
    <mergeCell ref="A45:B45"/>
    <mergeCell ref="A46:B46"/>
    <mergeCell ref="C31:D31"/>
    <mergeCell ref="C33:D33"/>
    <mergeCell ref="C34:D34"/>
    <mergeCell ref="C35:D35"/>
    <mergeCell ref="C37:D37"/>
    <mergeCell ref="C38:D38"/>
    <mergeCell ref="B1:K1"/>
    <mergeCell ref="A3:K3"/>
    <mergeCell ref="A29:B29"/>
    <mergeCell ref="C29:D29"/>
    <mergeCell ref="A30:B30"/>
    <mergeCell ref="C30:D30"/>
  </mergeCell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4" sqref="D4"/>
    </sheetView>
  </sheetViews>
  <sheetFormatPr baseColWidth="10" defaultRowHeight="13.8" x14ac:dyDescent="0.25"/>
  <cols>
    <col min="1" max="1" width="18.19921875" customWidth="1"/>
    <col min="2" max="2" width="11.5" customWidth="1"/>
    <col min="3" max="3" width="18.296875" customWidth="1"/>
    <col min="4" max="4" width="13.09765625" customWidth="1"/>
    <col min="5" max="5" width="4.09765625" customWidth="1"/>
    <col min="6" max="7" width="12.296875" customWidth="1"/>
    <col min="8" max="8" width="6.3984375" customWidth="1"/>
    <col min="9" max="9" width="13.09765625" customWidth="1"/>
    <col min="10" max="10" width="12.59765625" customWidth="1"/>
    <col min="11" max="11" width="1.69921875" customWidth="1"/>
    <col min="12" max="1024" width="7.8984375" customWidth="1"/>
  </cols>
  <sheetData>
    <row r="1" spans="1:11" ht="17.399999999999999" x14ac:dyDescent="0.3">
      <c r="A1" s="111" t="s">
        <v>15</v>
      </c>
      <c r="B1" s="111"/>
      <c r="C1" s="111"/>
      <c r="D1" s="111"/>
      <c r="E1" s="64"/>
      <c r="F1" s="112" t="s">
        <v>98</v>
      </c>
      <c r="G1" s="112"/>
      <c r="H1" s="112"/>
      <c r="I1" s="112"/>
      <c r="J1" s="112"/>
      <c r="K1" s="112"/>
    </row>
    <row r="2" spans="1:11" x14ac:dyDescent="0.25">
      <c r="A2" s="12" t="s">
        <v>99</v>
      </c>
      <c r="B2" s="65"/>
      <c r="C2" s="12" t="s">
        <v>100</v>
      </c>
      <c r="D2" s="66"/>
      <c r="E2" s="67" t="s">
        <v>101</v>
      </c>
      <c r="F2" s="68"/>
      <c r="G2" s="69" t="s">
        <v>99</v>
      </c>
      <c r="H2" s="69"/>
      <c r="I2" s="70"/>
      <c r="J2" s="70" t="s">
        <v>100</v>
      </c>
      <c r="K2" s="71"/>
    </row>
    <row r="3" spans="1:11" x14ac:dyDescent="0.25">
      <c r="A3" s="17" t="s">
        <v>102</v>
      </c>
      <c r="B3" s="67"/>
      <c r="C3" s="17" t="s">
        <v>103</v>
      </c>
      <c r="D3" s="72">
        <f ca="1">IF(D26-SUM(D4:D12)&gt;0,D26-SUM(D4:D12),0)</f>
        <v>170191.5</v>
      </c>
      <c r="E3" s="73">
        <v>0.05</v>
      </c>
      <c r="F3" s="68" t="s">
        <v>104</v>
      </c>
      <c r="G3" s="74">
        <f ca="1">SUM(B4:B14)</f>
        <v>254967.2</v>
      </c>
      <c r="H3" s="74"/>
      <c r="I3" s="70" t="s">
        <v>105</v>
      </c>
      <c r="J3" s="75">
        <f ca="1">SUM(D3:D6)+B25</f>
        <v>170191.5</v>
      </c>
      <c r="K3" s="71"/>
    </row>
    <row r="4" spans="1:11" x14ac:dyDescent="0.25">
      <c r="A4" s="17" t="s">
        <v>106</v>
      </c>
      <c r="B4" s="76">
        <f>Boden!G3</f>
        <v>63444</v>
      </c>
      <c r="C4" s="17" t="s">
        <v>107</v>
      </c>
      <c r="D4" s="77"/>
      <c r="E4" s="78"/>
      <c r="F4" s="68" t="s">
        <v>108</v>
      </c>
      <c r="G4" s="74">
        <f>SUM(B16:B24)</f>
        <v>67534.3</v>
      </c>
      <c r="H4" s="74"/>
      <c r="I4" s="70" t="s">
        <v>109</v>
      </c>
      <c r="J4" s="79">
        <f>SUM(D8:D13)</f>
        <v>152310</v>
      </c>
      <c r="K4" s="71"/>
    </row>
    <row r="5" spans="1:11" x14ac:dyDescent="0.25">
      <c r="A5" s="80" t="s">
        <v>110</v>
      </c>
      <c r="B5" s="81"/>
      <c r="C5" s="17" t="s">
        <v>111</v>
      </c>
      <c r="D5" s="77"/>
      <c r="E5" s="78"/>
      <c r="F5" s="68"/>
      <c r="G5" s="69"/>
      <c r="H5" s="69"/>
      <c r="I5" s="70" t="s">
        <v>112</v>
      </c>
      <c r="J5" s="70"/>
      <c r="K5" s="71"/>
    </row>
    <row r="6" spans="1:11" ht="26.25" customHeight="1" x14ac:dyDescent="0.25">
      <c r="A6" s="82" t="s">
        <v>113</v>
      </c>
      <c r="B6" s="76">
        <f ca="1">Gebäude!G8</f>
        <v>21601</v>
      </c>
      <c r="C6" s="17" t="s">
        <v>114</v>
      </c>
      <c r="D6" s="77"/>
      <c r="E6" s="78"/>
      <c r="F6" s="68"/>
      <c r="G6" s="69"/>
      <c r="H6" s="69"/>
      <c r="I6" s="70" t="s">
        <v>115</v>
      </c>
      <c r="J6" s="79">
        <f>D8</f>
        <v>113250</v>
      </c>
      <c r="K6" s="71"/>
    </row>
    <row r="7" spans="1:11" x14ac:dyDescent="0.25">
      <c r="A7" s="17" t="s">
        <v>116</v>
      </c>
      <c r="B7" s="76">
        <f ca="1">Gewächshäuser!F7+Gewächshäuser!K7</f>
        <v>149545.20000000001</v>
      </c>
      <c r="C7" s="17" t="s">
        <v>117</v>
      </c>
      <c r="D7" s="83"/>
      <c r="E7" s="84"/>
      <c r="F7" s="68"/>
      <c r="G7" s="69"/>
      <c r="H7" s="69"/>
      <c r="I7" s="70" t="s">
        <v>118</v>
      </c>
      <c r="J7" s="79">
        <f>SUM(D9:D13)</f>
        <v>39060</v>
      </c>
      <c r="K7" s="71"/>
    </row>
    <row r="8" spans="1:11" x14ac:dyDescent="0.25">
      <c r="A8" s="17" t="s">
        <v>119</v>
      </c>
      <c r="B8" s="85"/>
      <c r="C8" s="17" t="s">
        <v>120</v>
      </c>
      <c r="D8" s="77">
        <v>113250</v>
      </c>
      <c r="E8" s="73">
        <v>0.02</v>
      </c>
      <c r="F8" s="68"/>
      <c r="G8" s="69"/>
      <c r="H8" s="69"/>
      <c r="I8" s="70"/>
      <c r="J8" s="70"/>
      <c r="K8" s="71"/>
    </row>
    <row r="9" spans="1:11" x14ac:dyDescent="0.25">
      <c r="A9" s="17" t="s">
        <v>121</v>
      </c>
      <c r="B9" s="85"/>
      <c r="C9" s="17" t="s">
        <v>122</v>
      </c>
      <c r="D9" s="77"/>
      <c r="E9" s="73"/>
      <c r="F9" s="68" t="s">
        <v>123</v>
      </c>
      <c r="G9" s="86">
        <f ca="1">G3/G4</f>
        <v>3.7753734028486265</v>
      </c>
      <c r="H9" s="86" t="s">
        <v>124</v>
      </c>
      <c r="I9" s="70" t="s">
        <v>125</v>
      </c>
      <c r="J9" s="87">
        <f ca="1">J3/J4</f>
        <v>1.1174020090604688</v>
      </c>
      <c r="K9" s="88" t="s">
        <v>124</v>
      </c>
    </row>
    <row r="10" spans="1:11" ht="26.25" customHeight="1" x14ac:dyDescent="0.25">
      <c r="A10" s="82" t="s">
        <v>126</v>
      </c>
      <c r="B10" s="76">
        <f ca="1">'EK-Maschinen'!G7</f>
        <v>2375</v>
      </c>
      <c r="C10" s="17" t="s">
        <v>127</v>
      </c>
      <c r="D10" s="77">
        <v>23500</v>
      </c>
      <c r="E10" s="73">
        <v>0.04</v>
      </c>
      <c r="F10" s="68"/>
      <c r="G10" s="69"/>
      <c r="H10" s="69"/>
      <c r="I10" s="70" t="s">
        <v>128</v>
      </c>
      <c r="J10" s="89">
        <f ca="1">J3/D26</f>
        <v>0.52772312686917733</v>
      </c>
      <c r="K10" s="71"/>
    </row>
    <row r="11" spans="1:11" x14ac:dyDescent="0.25">
      <c r="A11" s="17" t="s">
        <v>129</v>
      </c>
      <c r="B11" s="76">
        <f ca="1">Fuhrpark!G8</f>
        <v>18002</v>
      </c>
      <c r="C11" s="17" t="s">
        <v>130</v>
      </c>
      <c r="D11" s="77"/>
      <c r="E11" s="73">
        <v>0.12</v>
      </c>
      <c r="F11" s="113"/>
      <c r="G11" s="113"/>
      <c r="H11" s="70"/>
      <c r="I11" s="70" t="s">
        <v>131</v>
      </c>
      <c r="J11" s="89">
        <f>J6/J4</f>
        <v>0.74354934016151275</v>
      </c>
      <c r="K11" s="71"/>
    </row>
    <row r="12" spans="1:11" x14ac:dyDescent="0.25">
      <c r="A12" s="17" t="s">
        <v>132</v>
      </c>
      <c r="B12" s="85"/>
      <c r="C12" s="17" t="s">
        <v>133</v>
      </c>
      <c r="D12" s="77">
        <v>15560</v>
      </c>
      <c r="E12" s="73">
        <v>0</v>
      </c>
      <c r="F12" s="68"/>
      <c r="G12" s="69"/>
      <c r="H12" s="69"/>
      <c r="I12" s="70" t="s">
        <v>134</v>
      </c>
      <c r="J12" s="89">
        <f>J7/J4</f>
        <v>0.2564506598384873</v>
      </c>
      <c r="K12" s="71"/>
    </row>
    <row r="13" spans="1:11" x14ac:dyDescent="0.25">
      <c r="A13" s="17" t="s">
        <v>135</v>
      </c>
      <c r="B13" s="85"/>
      <c r="C13" s="17" t="s">
        <v>136</v>
      </c>
      <c r="D13" s="77"/>
      <c r="E13" s="78"/>
      <c r="F13" s="68"/>
      <c r="G13" s="69"/>
      <c r="H13" s="69"/>
      <c r="I13" s="70" t="s">
        <v>137</v>
      </c>
      <c r="J13" s="89">
        <f>(B23+B22)/(D12+D11)</f>
        <v>1.2639010282776348</v>
      </c>
      <c r="K13" s="71"/>
    </row>
    <row r="14" spans="1:11" x14ac:dyDescent="0.25">
      <c r="A14" s="17" t="s">
        <v>138</v>
      </c>
      <c r="B14" s="85"/>
      <c r="C14" s="17"/>
      <c r="D14" s="83"/>
      <c r="E14" s="67"/>
      <c r="F14" s="90"/>
      <c r="G14" s="91"/>
      <c r="H14" s="91"/>
      <c r="I14" s="92" t="s">
        <v>139</v>
      </c>
      <c r="J14" s="51">
        <f>(B23+B22+B21)/(D12+D11)</f>
        <v>2.8307390745501286</v>
      </c>
      <c r="K14" s="93"/>
    </row>
    <row r="15" spans="1:11" x14ac:dyDescent="0.25">
      <c r="A15" s="17" t="s">
        <v>140</v>
      </c>
      <c r="B15" s="67"/>
      <c r="C15" s="17"/>
      <c r="D15" s="83"/>
      <c r="E15" s="67"/>
      <c r="G15" s="94"/>
      <c r="H15" s="94"/>
    </row>
    <row r="16" spans="1:11" x14ac:dyDescent="0.25">
      <c r="A16" s="17" t="s">
        <v>141</v>
      </c>
      <c r="B16" s="85">
        <v>0</v>
      </c>
      <c r="C16" s="17"/>
      <c r="D16" s="83"/>
      <c r="E16" s="67"/>
      <c r="F16" s="11"/>
      <c r="G16" s="94"/>
      <c r="H16" s="94"/>
    </row>
    <row r="17" spans="1:9" x14ac:dyDescent="0.25">
      <c r="A17" s="17" t="s">
        <v>142</v>
      </c>
      <c r="B17" s="67"/>
      <c r="C17" s="17"/>
      <c r="D17" s="83"/>
      <c r="E17" s="67"/>
      <c r="F17" s="11" t="s">
        <v>143</v>
      </c>
      <c r="H17" s="95">
        <v>0.06</v>
      </c>
      <c r="I17" s="96">
        <f ca="1">D3*H17</f>
        <v>10211.49</v>
      </c>
    </row>
    <row r="18" spans="1:9" x14ac:dyDescent="0.25">
      <c r="A18" s="15" t="s">
        <v>144</v>
      </c>
      <c r="B18" s="85"/>
      <c r="C18" s="17"/>
      <c r="D18" s="83"/>
      <c r="E18" s="67"/>
      <c r="F18" s="11" t="s">
        <v>145</v>
      </c>
      <c r="G18" s="11"/>
      <c r="H18" s="97">
        <f>(D8*E8+D9*E9+D10*E10+D11*E11+D12*E12)/SUM(D8:D13)</f>
        <v>2.1042610465497998E-2</v>
      </c>
    </row>
    <row r="19" spans="1:9" x14ac:dyDescent="0.25">
      <c r="A19" s="15" t="s">
        <v>146</v>
      </c>
      <c r="B19" s="85"/>
      <c r="C19" s="17"/>
      <c r="D19" s="83"/>
      <c r="E19" s="67"/>
      <c r="F19" s="98" t="s">
        <v>147</v>
      </c>
      <c r="G19" s="99"/>
      <c r="H19" s="100">
        <f ca="1">(SUM(D3:D6)*E3+D8*E8+D9*E9+D10*E10+D11*E11+D12*E12)/D26</f>
        <v>3.6324094616614191E-2</v>
      </c>
    </row>
    <row r="20" spans="1:9" x14ac:dyDescent="0.25">
      <c r="A20" s="47" t="s">
        <v>148</v>
      </c>
      <c r="B20" s="85">
        <v>23488</v>
      </c>
      <c r="C20" s="17"/>
      <c r="D20" s="83"/>
      <c r="E20" s="67"/>
      <c r="F20" s="11"/>
      <c r="G20" s="69"/>
      <c r="H20" s="69"/>
    </row>
    <row r="21" spans="1:9" x14ac:dyDescent="0.25">
      <c r="A21" s="17" t="s">
        <v>149</v>
      </c>
      <c r="B21" s="85">
        <v>24380</v>
      </c>
      <c r="C21" s="17"/>
      <c r="D21" s="83"/>
      <c r="E21" s="67"/>
      <c r="F21" s="11"/>
      <c r="G21" s="69"/>
      <c r="H21" s="69"/>
    </row>
    <row r="22" spans="1:9" x14ac:dyDescent="0.25">
      <c r="A22" s="17" t="s">
        <v>150</v>
      </c>
      <c r="B22" s="85">
        <v>17534</v>
      </c>
      <c r="C22" s="17"/>
      <c r="D22" s="83"/>
      <c r="E22" s="67"/>
      <c r="F22" s="11"/>
      <c r="G22" s="101" t="s">
        <v>151</v>
      </c>
      <c r="H22" s="11"/>
    </row>
    <row r="23" spans="1:9" x14ac:dyDescent="0.25">
      <c r="A23" s="17" t="s">
        <v>152</v>
      </c>
      <c r="B23" s="85">
        <v>2132.3000000000002</v>
      </c>
      <c r="C23" s="17"/>
      <c r="D23" s="83"/>
      <c r="E23" s="67"/>
      <c r="F23" s="11"/>
      <c r="G23" s="11"/>
      <c r="H23" s="11"/>
    </row>
    <row r="24" spans="1:9" x14ac:dyDescent="0.25">
      <c r="A24" s="17" t="s">
        <v>153</v>
      </c>
      <c r="B24" s="85"/>
      <c r="C24" s="17"/>
      <c r="D24" s="83"/>
      <c r="E24" s="67"/>
    </row>
    <row r="25" spans="1:9" x14ac:dyDescent="0.25">
      <c r="A25" s="37" t="s">
        <v>154</v>
      </c>
      <c r="B25" s="102">
        <f ca="1">IF(D26-SUM(D4:D12)&lt;0,SUM(D4:D12)-D26,0)</f>
        <v>0</v>
      </c>
      <c r="C25" s="103"/>
      <c r="D25" s="104"/>
      <c r="E25" s="67"/>
    </row>
    <row r="26" spans="1:9" x14ac:dyDescent="0.25">
      <c r="A26" s="35" t="s">
        <v>86</v>
      </c>
      <c r="B26" s="105">
        <f ca="1">SUM(B3:B24)</f>
        <v>322501.5</v>
      </c>
      <c r="C26" s="54" t="s">
        <v>86</v>
      </c>
      <c r="D26" s="106">
        <f ca="1">B26</f>
        <v>322501.5</v>
      </c>
      <c r="E26" s="67"/>
    </row>
    <row r="27" spans="1:9" ht="15.6" x14ac:dyDescent="0.3">
      <c r="A27" s="107"/>
      <c r="B27" s="11"/>
      <c r="C27" s="11"/>
      <c r="D27" s="11"/>
      <c r="E27" s="11"/>
    </row>
    <row r="28" spans="1:9" x14ac:dyDescent="0.25">
      <c r="A28" s="108"/>
      <c r="B28" s="94"/>
      <c r="C28" s="94"/>
      <c r="D28" s="94"/>
      <c r="E28" s="94"/>
    </row>
    <row r="29" spans="1:9" x14ac:dyDescent="0.25">
      <c r="A29" s="109"/>
      <c r="B29" s="94"/>
      <c r="C29" s="94"/>
      <c r="D29" s="94"/>
      <c r="E29" s="94"/>
      <c r="F29" t="s">
        <v>105</v>
      </c>
      <c r="G29" s="67">
        <f ca="1">D3+D4+D5+D6</f>
        <v>170191.5</v>
      </c>
    </row>
    <row r="30" spans="1:9" x14ac:dyDescent="0.25">
      <c r="A30" s="110"/>
      <c r="B30" s="94"/>
      <c r="C30" s="94"/>
      <c r="D30" s="94"/>
      <c r="E30" s="94"/>
      <c r="F30" t="s">
        <v>115</v>
      </c>
      <c r="G30" s="67">
        <f>D8</f>
        <v>113250</v>
      </c>
    </row>
    <row r="31" spans="1:9" x14ac:dyDescent="0.25">
      <c r="A31" s="108"/>
      <c r="B31" s="94"/>
      <c r="C31" s="94"/>
      <c r="D31" s="94"/>
      <c r="E31" s="94"/>
      <c r="F31" t="s">
        <v>155</v>
      </c>
      <c r="G31" s="67">
        <f>D9</f>
        <v>0</v>
      </c>
    </row>
    <row r="32" spans="1:9" x14ac:dyDescent="0.25">
      <c r="A32" s="108"/>
      <c r="B32" s="94"/>
      <c r="C32" s="94"/>
      <c r="D32" s="94"/>
      <c r="E32" s="94"/>
      <c r="F32" t="s">
        <v>118</v>
      </c>
      <c r="G32" s="67">
        <f>D10+D11+D12</f>
        <v>39060</v>
      </c>
    </row>
    <row r="33" spans="1:5" x14ac:dyDescent="0.25">
      <c r="A33" s="108"/>
      <c r="B33" s="94"/>
      <c r="C33" s="94"/>
      <c r="D33" s="94"/>
      <c r="E33" s="94"/>
    </row>
    <row r="34" spans="1:5" x14ac:dyDescent="0.25">
      <c r="A34" s="110"/>
      <c r="B34" s="94"/>
      <c r="C34" s="94"/>
      <c r="D34" s="94"/>
      <c r="E34" s="94"/>
    </row>
    <row r="35" spans="1:5" x14ac:dyDescent="0.25">
      <c r="A35" s="108"/>
      <c r="B35" s="94"/>
      <c r="C35" s="94"/>
      <c r="D35" s="94"/>
      <c r="E35" s="94"/>
    </row>
    <row r="36" spans="1:5" x14ac:dyDescent="0.25">
      <c r="A36" s="108"/>
      <c r="B36" s="94"/>
      <c r="C36" s="94"/>
      <c r="D36" s="94"/>
      <c r="E36" s="94"/>
    </row>
    <row r="37" spans="1:5" x14ac:dyDescent="0.25">
      <c r="A37" s="108"/>
      <c r="B37" s="94"/>
      <c r="C37" s="94"/>
      <c r="D37" s="94"/>
      <c r="E37" s="94"/>
    </row>
    <row r="38" spans="1:5" x14ac:dyDescent="0.25">
      <c r="A38" s="108"/>
      <c r="B38" s="94"/>
      <c r="C38" s="94"/>
      <c r="D38" s="94"/>
      <c r="E38" s="94"/>
    </row>
    <row r="39" spans="1:5" x14ac:dyDescent="0.25">
      <c r="A39" s="11"/>
      <c r="B39" s="11"/>
      <c r="C39" s="11"/>
      <c r="D39" s="11"/>
      <c r="E39" s="11"/>
    </row>
    <row r="40" spans="1:5" x14ac:dyDescent="0.25">
      <c r="A40" s="11"/>
      <c r="B40" s="11"/>
      <c r="C40" s="11"/>
      <c r="D40" s="11"/>
      <c r="E40" s="11"/>
    </row>
  </sheetData>
  <sheetProtection algorithmName="SHA-512" hashValue="E8qsgiOmvWJfrsbMeXkcVuztjQGzA9bZlI9jWVhptYIRTtGTBUBnmu3xV3GB1iJNKxU0CK9RxA0JsuXposT9uA==" saltValue="8O5+AfdRZuEmVWv0oG4d6g==" spinCount="100000" sheet="1" objects="1" scenarios="1" selectLockedCells="1"/>
  <mergeCells count="3">
    <mergeCell ref="A1:D1"/>
    <mergeCell ref="F1:K1"/>
    <mergeCell ref="F11:G11"/>
  </mergeCell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topLeftCell="A3" workbookViewId="0">
      <selection activeCell="L3" sqref="L3"/>
    </sheetView>
  </sheetViews>
  <sheetFormatPr baseColWidth="10" defaultRowHeight="13.35" x14ac:dyDescent="0.25"/>
  <cols>
    <col min="1" max="1" width="26.8984375" customWidth="1"/>
    <col min="2" max="2" width="12.59765625" customWidth="1"/>
    <col min="3" max="3" width="8.5" customWidth="1"/>
    <col min="4" max="5" width="8.5" hidden="1" customWidth="1"/>
    <col min="6" max="6" width="12.09765625" style="27" customWidth="1"/>
    <col min="7" max="7" width="0.3984375" customWidth="1"/>
    <col min="8" max="8" width="12.296875" customWidth="1"/>
    <col min="9" max="9" width="11.09765625" customWidth="1"/>
    <col min="10" max="10" width="12.8984375" customWidth="1"/>
    <col min="11" max="11" width="7.8984375" customWidth="1"/>
    <col min="12" max="12" width="12.8984375" customWidth="1"/>
    <col min="13" max="13" width="7.8984375" customWidth="1"/>
    <col min="14" max="14" width="9.59765625" customWidth="1"/>
    <col min="15" max="15" width="11.296875" customWidth="1"/>
    <col min="16" max="1024" width="7.8984375" customWidth="1"/>
  </cols>
  <sheetData>
    <row r="1" spans="1:14" ht="21" x14ac:dyDescent="0.4">
      <c r="A1" s="142" t="s">
        <v>156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4" ht="13.8" x14ac:dyDescent="0.25">
      <c r="A2" s="15" t="s">
        <v>157</v>
      </c>
      <c r="B2" s="67"/>
      <c r="C2" s="67"/>
      <c r="D2" s="67"/>
      <c r="E2" s="67"/>
      <c r="F2" s="83"/>
      <c r="G2" s="114"/>
      <c r="H2" s="17"/>
      <c r="I2" s="16" t="s">
        <v>158</v>
      </c>
      <c r="J2" s="16"/>
      <c r="K2" s="18"/>
    </row>
    <row r="3" spans="1:14" ht="13.8" x14ac:dyDescent="0.25">
      <c r="A3" s="15" t="s">
        <v>159</v>
      </c>
      <c r="B3" s="67"/>
      <c r="C3" s="67" t="s">
        <v>160</v>
      </c>
      <c r="D3" s="115"/>
      <c r="E3" s="115"/>
      <c r="F3" s="83" t="s">
        <v>161</v>
      </c>
      <c r="G3" s="114"/>
      <c r="H3" s="17" t="s">
        <v>162</v>
      </c>
      <c r="I3" s="16"/>
      <c r="J3" s="16"/>
      <c r="K3" s="18" t="s">
        <v>53</v>
      </c>
      <c r="L3" s="116"/>
    </row>
    <row r="4" spans="1:14" ht="13.8" x14ac:dyDescent="0.25">
      <c r="A4" s="15" t="s">
        <v>163</v>
      </c>
      <c r="B4" s="117">
        <v>177784.21</v>
      </c>
      <c r="C4" s="85" t="s">
        <v>164</v>
      </c>
      <c r="D4" s="67">
        <f t="shared" ref="D4:D43" si="0">IF(C4="EK",B4,0)</f>
        <v>177784.21</v>
      </c>
      <c r="E4" s="67">
        <f t="shared" ref="E4:E36" si="1">IF(C4="GK",B4,0)</f>
        <v>0</v>
      </c>
      <c r="F4" s="118">
        <f t="shared" ref="F4:F45" si="2">B4/$L$29</f>
        <v>0.238986663010303</v>
      </c>
      <c r="G4" s="119"/>
      <c r="H4" s="17"/>
      <c r="I4" s="16"/>
      <c r="J4" s="16" t="s">
        <v>165</v>
      </c>
      <c r="K4" s="18" t="s">
        <v>166</v>
      </c>
    </row>
    <row r="5" spans="1:14" ht="13.8" x14ac:dyDescent="0.25">
      <c r="A5" s="15" t="s">
        <v>167</v>
      </c>
      <c r="B5" s="120">
        <v>6500</v>
      </c>
      <c r="C5" s="85" t="s">
        <v>164</v>
      </c>
      <c r="D5" s="67">
        <f t="shared" si="0"/>
        <v>6500</v>
      </c>
      <c r="E5" s="67">
        <f t="shared" si="1"/>
        <v>0</v>
      </c>
      <c r="F5" s="118">
        <f t="shared" si="2"/>
        <v>8.7376337278038899E-3</v>
      </c>
      <c r="G5" s="119"/>
      <c r="H5" s="17" t="s">
        <v>168</v>
      </c>
      <c r="I5" s="16"/>
      <c r="J5" s="121">
        <f>SUM(J7:J11)</f>
        <v>632500.5</v>
      </c>
      <c r="K5" s="122"/>
      <c r="L5">
        <f>L3*K5</f>
        <v>0</v>
      </c>
    </row>
    <row r="6" spans="1:14" ht="13.8" x14ac:dyDescent="0.25">
      <c r="A6" s="15" t="s">
        <v>169</v>
      </c>
      <c r="B6" s="120">
        <v>6093.05</v>
      </c>
      <c r="C6" s="85" t="s">
        <v>164</v>
      </c>
      <c r="D6" s="67">
        <f t="shared" si="0"/>
        <v>6093.05</v>
      </c>
      <c r="E6" s="67">
        <f t="shared" si="1"/>
        <v>0</v>
      </c>
      <c r="F6" s="118">
        <f t="shared" si="2"/>
        <v>8.1905906438762294E-3</v>
      </c>
      <c r="G6" s="119"/>
      <c r="H6" s="17"/>
      <c r="I6" s="16" t="s">
        <v>170</v>
      </c>
      <c r="J6" s="67"/>
      <c r="K6" s="18"/>
    </row>
    <row r="7" spans="1:14" ht="13.8" x14ac:dyDescent="0.25">
      <c r="A7" s="15" t="s">
        <v>171</v>
      </c>
      <c r="B7" s="120">
        <v>78251.360000000001</v>
      </c>
      <c r="C7" s="85" t="s">
        <v>164</v>
      </c>
      <c r="D7" s="67">
        <f t="shared" si="0"/>
        <v>78251.360000000001</v>
      </c>
      <c r="E7" s="67">
        <f t="shared" si="1"/>
        <v>0</v>
      </c>
      <c r="F7" s="118">
        <f t="shared" si="2"/>
        <v>0.10518949575115757</v>
      </c>
      <c r="G7" s="119"/>
      <c r="H7" s="17"/>
      <c r="I7" s="16" t="s">
        <v>172</v>
      </c>
      <c r="J7" s="123">
        <v>605798</v>
      </c>
      <c r="K7" s="124"/>
      <c r="L7" s="125">
        <f>IF(J5&gt;0,J5*K7,IF(J7&gt;0,J7,L3*K5*K7))</f>
        <v>0</v>
      </c>
    </row>
    <row r="8" spans="1:14" ht="13.8" x14ac:dyDescent="0.25">
      <c r="A8" s="15" t="s">
        <v>173</v>
      </c>
      <c r="B8" s="120">
        <v>35556.839999999997</v>
      </c>
      <c r="C8" s="85" t="s">
        <v>164</v>
      </c>
      <c r="D8" s="67">
        <f t="shared" si="0"/>
        <v>35556.839999999997</v>
      </c>
      <c r="E8" s="67">
        <f t="shared" si="1"/>
        <v>0</v>
      </c>
      <c r="F8" s="118">
        <f t="shared" si="2"/>
        <v>4.7797329913557909E-2</v>
      </c>
      <c r="G8" s="119"/>
      <c r="H8" s="17"/>
      <c r="I8" s="16" t="s">
        <v>174</v>
      </c>
      <c r="J8" s="126"/>
      <c r="K8" s="127"/>
      <c r="L8" s="125">
        <f>IF(J5&gt;0,J5*K8,IF(J8&gt;0,J8,L3*K5*K8))</f>
        <v>0</v>
      </c>
    </row>
    <row r="9" spans="1:14" ht="13.8" x14ac:dyDescent="0.25">
      <c r="A9" s="15" t="s">
        <v>175</v>
      </c>
      <c r="B9" s="120">
        <v>5680</v>
      </c>
      <c r="C9" s="85" t="s">
        <v>164</v>
      </c>
      <c r="D9" s="67">
        <f t="shared" si="0"/>
        <v>5680</v>
      </c>
      <c r="E9" s="67">
        <f t="shared" si="1"/>
        <v>0</v>
      </c>
      <c r="F9" s="118">
        <f t="shared" si="2"/>
        <v>7.6353476267578607E-3</v>
      </c>
      <c r="G9" s="119"/>
      <c r="H9" s="17"/>
      <c r="I9" s="16" t="s">
        <v>176</v>
      </c>
      <c r="J9" s="126">
        <v>5780</v>
      </c>
      <c r="K9" s="127"/>
      <c r="L9" s="125">
        <f>IF(J5&gt;0,J5*K9,IF(J9&gt;0,J9,L3*K5*K9))</f>
        <v>0</v>
      </c>
      <c r="N9" s="128"/>
    </row>
    <row r="10" spans="1:14" ht="13.8" x14ac:dyDescent="0.25">
      <c r="A10" s="80"/>
      <c r="B10" s="120"/>
      <c r="C10" s="85"/>
      <c r="D10" s="67">
        <f t="shared" si="0"/>
        <v>0</v>
      </c>
      <c r="E10" s="67">
        <f t="shared" si="1"/>
        <v>0</v>
      </c>
      <c r="F10" s="118">
        <f t="shared" si="2"/>
        <v>0</v>
      </c>
      <c r="G10" s="119"/>
      <c r="H10" s="17"/>
      <c r="I10" s="16" t="s">
        <v>177</v>
      </c>
      <c r="J10" s="126">
        <v>20922.5</v>
      </c>
      <c r="K10" s="127"/>
      <c r="L10" s="125">
        <f>IF(J5&gt;0,J5*K10,IF(J10&gt;0,J10,L3*K5*K10))</f>
        <v>0</v>
      </c>
    </row>
    <row r="11" spans="1:14" ht="13.8" x14ac:dyDescent="0.25">
      <c r="A11" s="15"/>
      <c r="B11" s="120"/>
      <c r="C11" s="85"/>
      <c r="D11" s="67">
        <f t="shared" si="0"/>
        <v>0</v>
      </c>
      <c r="E11" s="67">
        <f t="shared" si="1"/>
        <v>0</v>
      </c>
      <c r="F11" s="118">
        <f t="shared" si="2"/>
        <v>0</v>
      </c>
      <c r="G11" s="119"/>
      <c r="H11" s="17"/>
      <c r="I11" s="16" t="s">
        <v>178</v>
      </c>
      <c r="J11" s="129"/>
      <c r="K11" s="130"/>
      <c r="L11" s="125">
        <f>IF(J5&gt;0,J5*K11,IF(J11&gt;0,J11,L3*K5*K11))</f>
        <v>0</v>
      </c>
      <c r="N11" s="125"/>
    </row>
    <row r="12" spans="1:14" ht="13.8" x14ac:dyDescent="0.25">
      <c r="A12" s="15" t="s">
        <v>179</v>
      </c>
      <c r="B12" s="131">
        <v>51280.35</v>
      </c>
      <c r="C12" s="85" t="s">
        <v>164</v>
      </c>
      <c r="D12" s="67">
        <f t="shared" si="0"/>
        <v>51280.35</v>
      </c>
      <c r="E12" s="67">
        <f t="shared" si="1"/>
        <v>0</v>
      </c>
      <c r="F12" s="118">
        <f t="shared" si="2"/>
        <v>6.8933679343628956E-2</v>
      </c>
      <c r="G12" s="119"/>
      <c r="H12" s="17"/>
      <c r="I12" s="16" t="s">
        <v>97</v>
      </c>
      <c r="J12" s="67"/>
      <c r="K12" s="132">
        <f>SUM(K7:K11)</f>
        <v>0</v>
      </c>
      <c r="L12" s="125">
        <f>IF(J5&gt;0,J5,SUM(L7:L11))</f>
        <v>632500.5</v>
      </c>
    </row>
    <row r="13" spans="1:14" ht="13.8" x14ac:dyDescent="0.25">
      <c r="A13" s="15" t="s">
        <v>180</v>
      </c>
      <c r="B13" s="67"/>
      <c r="C13" s="67"/>
      <c r="D13" s="67">
        <f t="shared" si="0"/>
        <v>0</v>
      </c>
      <c r="E13" s="67">
        <f t="shared" si="1"/>
        <v>0</v>
      </c>
      <c r="F13" s="118">
        <f t="shared" si="2"/>
        <v>0</v>
      </c>
      <c r="G13" s="119"/>
      <c r="H13" s="17" t="s">
        <v>181</v>
      </c>
      <c r="I13" s="16"/>
      <c r="J13" s="121">
        <f>SUM(J15:J17)</f>
        <v>0</v>
      </c>
      <c r="K13" s="122"/>
      <c r="L13">
        <f>L3*K13</f>
        <v>0</v>
      </c>
    </row>
    <row r="14" spans="1:14" ht="13.8" x14ac:dyDescent="0.25">
      <c r="A14" s="15" t="s">
        <v>182</v>
      </c>
      <c r="B14" s="117">
        <v>55830</v>
      </c>
      <c r="C14" s="85" t="s">
        <v>164</v>
      </c>
      <c r="D14" s="67">
        <f t="shared" si="0"/>
        <v>55830</v>
      </c>
      <c r="E14" s="67">
        <f t="shared" si="1"/>
        <v>0</v>
      </c>
      <c r="F14" s="118">
        <f t="shared" si="2"/>
        <v>7.5049552465121724E-2</v>
      </c>
      <c r="G14" s="119"/>
      <c r="H14" s="17"/>
      <c r="I14" s="16" t="s">
        <v>170</v>
      </c>
      <c r="J14" s="67"/>
      <c r="K14" s="132"/>
    </row>
    <row r="15" spans="1:14" ht="13.8" x14ac:dyDescent="0.25">
      <c r="A15" s="15" t="s">
        <v>183</v>
      </c>
      <c r="B15" s="120"/>
      <c r="C15" s="85"/>
      <c r="D15" s="67">
        <f t="shared" si="0"/>
        <v>0</v>
      </c>
      <c r="E15" s="67">
        <f t="shared" si="1"/>
        <v>0</v>
      </c>
      <c r="F15" s="118">
        <f t="shared" si="2"/>
        <v>0</v>
      </c>
      <c r="G15" s="119"/>
      <c r="H15" s="17"/>
      <c r="I15" s="16" t="s">
        <v>184</v>
      </c>
      <c r="J15" s="123"/>
      <c r="K15" s="124"/>
      <c r="L15">
        <f>IF(J13&gt;0,J13*K15,IF(J15&gt;0,J15,L3*K13*K15))</f>
        <v>0</v>
      </c>
    </row>
    <row r="16" spans="1:14" ht="13.8" x14ac:dyDescent="0.25">
      <c r="A16" s="15" t="s">
        <v>185</v>
      </c>
      <c r="B16" s="120"/>
      <c r="C16" s="85"/>
      <c r="D16" s="67">
        <f t="shared" si="0"/>
        <v>0</v>
      </c>
      <c r="E16" s="67">
        <f t="shared" si="1"/>
        <v>0</v>
      </c>
      <c r="F16" s="118">
        <f t="shared" si="2"/>
        <v>0</v>
      </c>
      <c r="G16" s="119"/>
      <c r="H16" s="17"/>
      <c r="I16" s="16" t="s">
        <v>186</v>
      </c>
      <c r="J16" s="126"/>
      <c r="K16" s="127"/>
      <c r="L16">
        <f>IF(J13&gt;0,J13*K16,IF(J16&gt;0,K16,L3*K13*K16))</f>
        <v>0</v>
      </c>
    </row>
    <row r="17" spans="1:15" ht="13.8" x14ac:dyDescent="0.25">
      <c r="A17" s="15" t="s">
        <v>187</v>
      </c>
      <c r="B17" s="131"/>
      <c r="C17" s="85"/>
      <c r="D17" s="67">
        <f t="shared" si="0"/>
        <v>0</v>
      </c>
      <c r="E17" s="67">
        <f t="shared" si="1"/>
        <v>0</v>
      </c>
      <c r="F17" s="118">
        <f t="shared" si="2"/>
        <v>0</v>
      </c>
      <c r="G17" s="119"/>
      <c r="H17" s="17"/>
      <c r="I17" s="16" t="s">
        <v>188</v>
      </c>
      <c r="J17" s="129"/>
      <c r="K17" s="130"/>
      <c r="L17">
        <f>IF(J13&gt;0,J13*K17,IF(J17&gt;0,J17,L3*K13*K17))</f>
        <v>0</v>
      </c>
    </row>
    <row r="18" spans="1:15" ht="13.8" x14ac:dyDescent="0.25">
      <c r="A18" s="15" t="s">
        <v>189</v>
      </c>
      <c r="B18" s="67"/>
      <c r="C18" s="67"/>
      <c r="D18" s="67">
        <f t="shared" si="0"/>
        <v>0</v>
      </c>
      <c r="E18" s="67">
        <f t="shared" si="1"/>
        <v>0</v>
      </c>
      <c r="F18" s="118">
        <f t="shared" si="2"/>
        <v>0</v>
      </c>
      <c r="G18" s="119"/>
      <c r="H18" s="17"/>
      <c r="I18" s="16" t="s">
        <v>97</v>
      </c>
      <c r="J18" s="67"/>
      <c r="K18" s="132">
        <f>SUM(K15:K17)</f>
        <v>0</v>
      </c>
      <c r="L18">
        <f>IF(J13&gt;0,J13,SUM(L15:L17))</f>
        <v>0</v>
      </c>
    </row>
    <row r="19" spans="1:15" ht="13.8" x14ac:dyDescent="0.25">
      <c r="A19" s="15" t="s">
        <v>190</v>
      </c>
      <c r="B19" s="121">
        <f>Lohnkalk!L40</f>
        <v>132823.47451441572</v>
      </c>
      <c r="C19" s="133" t="s">
        <v>164</v>
      </c>
      <c r="D19" s="67">
        <f t="shared" si="0"/>
        <v>132823.47451441572</v>
      </c>
      <c r="E19" s="67">
        <f t="shared" si="1"/>
        <v>0</v>
      </c>
      <c r="F19" s="118">
        <f t="shared" si="2"/>
        <v>0.17854813396327066</v>
      </c>
      <c r="G19" s="119"/>
      <c r="H19" s="17" t="s">
        <v>191</v>
      </c>
      <c r="I19" s="16"/>
      <c r="J19" s="134"/>
      <c r="K19" s="122"/>
      <c r="L19">
        <f>IF(J19&gt;0,J19,L3*K19)</f>
        <v>0</v>
      </c>
    </row>
    <row r="20" spans="1:15" ht="13.8" x14ac:dyDescent="0.25">
      <c r="A20" s="15"/>
      <c r="B20" s="120"/>
      <c r="C20" s="133"/>
      <c r="D20" s="67">
        <f t="shared" si="0"/>
        <v>0</v>
      </c>
      <c r="E20" s="67">
        <f t="shared" si="1"/>
        <v>0</v>
      </c>
      <c r="F20" s="118">
        <f t="shared" si="2"/>
        <v>0</v>
      </c>
      <c r="G20" s="119"/>
      <c r="H20" s="17" t="s">
        <v>192</v>
      </c>
      <c r="I20" s="16"/>
      <c r="J20" s="134"/>
      <c r="K20" s="122"/>
      <c r="L20">
        <f>IF(J20&gt;0,J20,L3*K20)</f>
        <v>0</v>
      </c>
    </row>
    <row r="21" spans="1:15" ht="13.8" x14ac:dyDescent="0.25">
      <c r="A21" s="15"/>
      <c r="B21" s="131"/>
      <c r="C21" s="133"/>
      <c r="D21" s="67">
        <f t="shared" si="0"/>
        <v>0</v>
      </c>
      <c r="E21" s="67">
        <f t="shared" si="1"/>
        <v>0</v>
      </c>
      <c r="F21" s="118">
        <f t="shared" si="2"/>
        <v>0</v>
      </c>
      <c r="G21" s="119"/>
      <c r="H21" s="17" t="s">
        <v>193</v>
      </c>
      <c r="I21" s="16"/>
      <c r="J21" s="134"/>
      <c r="K21" s="122"/>
      <c r="L21">
        <f>IF(J21&gt;0,J21,L3*K21)</f>
        <v>0</v>
      </c>
    </row>
    <row r="22" spans="1:15" ht="13.8" x14ac:dyDescent="0.25">
      <c r="A22" s="15" t="s">
        <v>194</v>
      </c>
      <c r="B22" s="67"/>
      <c r="C22" s="67"/>
      <c r="D22" s="67">
        <f t="shared" si="0"/>
        <v>0</v>
      </c>
      <c r="E22" s="67">
        <f t="shared" si="1"/>
        <v>0</v>
      </c>
      <c r="F22" s="118">
        <f t="shared" si="2"/>
        <v>0</v>
      </c>
      <c r="G22" s="119"/>
      <c r="H22" s="17" t="s">
        <v>195</v>
      </c>
      <c r="I22" s="16"/>
      <c r="J22" s="121">
        <f>SUM(J24:J27)</f>
        <v>108578</v>
      </c>
      <c r="K22" s="122"/>
      <c r="L22">
        <f>L3*K22</f>
        <v>0</v>
      </c>
    </row>
    <row r="23" spans="1:15" ht="13.8" x14ac:dyDescent="0.25">
      <c r="A23" s="15" t="s">
        <v>196</v>
      </c>
      <c r="B23" s="117"/>
      <c r="C23" s="85"/>
      <c r="D23" s="67">
        <f t="shared" si="0"/>
        <v>0</v>
      </c>
      <c r="E23" s="67">
        <f t="shared" si="1"/>
        <v>0</v>
      </c>
      <c r="F23" s="118">
        <f t="shared" si="2"/>
        <v>0</v>
      </c>
      <c r="G23" s="119"/>
      <c r="H23" s="17"/>
      <c r="I23" s="16" t="s">
        <v>170</v>
      </c>
      <c r="J23" s="67"/>
      <c r="K23" s="132"/>
    </row>
    <row r="24" spans="1:15" ht="13.8" x14ac:dyDescent="0.25">
      <c r="A24" s="15" t="s">
        <v>197</v>
      </c>
      <c r="B24" s="76">
        <f>Gebäude!G23</f>
        <v>4200</v>
      </c>
      <c r="C24" s="85" t="s">
        <v>198</v>
      </c>
      <c r="D24" s="67">
        <f t="shared" si="0"/>
        <v>0</v>
      </c>
      <c r="E24" s="67">
        <f t="shared" si="1"/>
        <v>4200</v>
      </c>
      <c r="F24" s="118">
        <f t="shared" si="2"/>
        <v>5.6458556395040521E-3</v>
      </c>
      <c r="G24" s="119"/>
      <c r="H24" s="17"/>
      <c r="I24" s="16" t="s">
        <v>199</v>
      </c>
      <c r="J24" s="123">
        <v>95367</v>
      </c>
      <c r="K24" s="124"/>
      <c r="L24" s="125">
        <f>IF(J22&gt;0,J22*K24,IF(J24&gt;0,J24,L3*K22*K24))</f>
        <v>0</v>
      </c>
    </row>
    <row r="25" spans="1:15" ht="13.8" x14ac:dyDescent="0.25">
      <c r="A25" s="15" t="s">
        <v>200</v>
      </c>
      <c r="B25" s="76">
        <f>Gewächshäuser!F23+Gewächshäuser!K17</f>
        <v>37929.72</v>
      </c>
      <c r="C25" s="85" t="s">
        <v>164</v>
      </c>
      <c r="D25" s="67">
        <f t="shared" si="0"/>
        <v>37929.72</v>
      </c>
      <c r="E25" s="67">
        <f t="shared" si="1"/>
        <v>0</v>
      </c>
      <c r="F25" s="118">
        <f t="shared" si="2"/>
        <v>5.0987077039716583E-2</v>
      </c>
      <c r="G25" s="119"/>
      <c r="H25" s="17"/>
      <c r="I25" s="16" t="s">
        <v>201</v>
      </c>
      <c r="J25" s="126"/>
      <c r="K25" s="127"/>
      <c r="L25" s="125">
        <f>IF(J22&gt;0,J22*K25,IF(J25&gt;0,J25,L3*K22*K25))</f>
        <v>0</v>
      </c>
    </row>
    <row r="26" spans="1:15" ht="13.8" x14ac:dyDescent="0.25">
      <c r="A26" s="15" t="s">
        <v>202</v>
      </c>
      <c r="B26" s="76">
        <f>'EK-Maschinen'!G37+'EK-Maschinen'!G38</f>
        <v>2790</v>
      </c>
      <c r="C26" s="85" t="s">
        <v>164</v>
      </c>
      <c r="D26" s="67">
        <f t="shared" si="0"/>
        <v>2790</v>
      </c>
      <c r="E26" s="67">
        <f t="shared" si="1"/>
        <v>0</v>
      </c>
      <c r="F26" s="118">
        <f t="shared" si="2"/>
        <v>3.7504612462419774E-3</v>
      </c>
      <c r="G26" s="119"/>
      <c r="H26" s="17"/>
      <c r="I26" s="16" t="s">
        <v>203</v>
      </c>
      <c r="J26" s="126">
        <v>13211</v>
      </c>
      <c r="K26" s="127"/>
      <c r="L26" s="125">
        <f>IF(J22&gt;0,J22*K26,IF(J26&gt;0,J26,L3*K22*K26))</f>
        <v>0</v>
      </c>
    </row>
    <row r="27" spans="1:15" ht="13.8" x14ac:dyDescent="0.25">
      <c r="A27" s="15" t="s">
        <v>204</v>
      </c>
      <c r="B27" s="76">
        <f>Fuhrpark!G37+Fuhrpark!G38</f>
        <v>6154.25</v>
      </c>
      <c r="C27" s="85" t="s">
        <v>198</v>
      </c>
      <c r="D27" s="67">
        <f t="shared" si="0"/>
        <v>0</v>
      </c>
      <c r="E27" s="67">
        <f t="shared" si="1"/>
        <v>6154.25</v>
      </c>
      <c r="F27" s="118">
        <f t="shared" si="2"/>
        <v>8.2728588260518598E-3</v>
      </c>
      <c r="G27" s="119"/>
      <c r="H27" s="17"/>
      <c r="I27" s="16" t="s">
        <v>178</v>
      </c>
      <c r="J27" s="129"/>
      <c r="K27" s="130"/>
      <c r="L27" s="125">
        <f>IF(J22&gt;0,J22*K27,IF(J27&gt;0,J27,L3*K22*K27))</f>
        <v>0</v>
      </c>
    </row>
    <row r="28" spans="1:15" ht="13.8" x14ac:dyDescent="0.25">
      <c r="A28" s="15" t="s">
        <v>205</v>
      </c>
      <c r="B28" s="67"/>
      <c r="C28" s="67"/>
      <c r="D28" s="67">
        <f t="shared" si="0"/>
        <v>0</v>
      </c>
      <c r="E28" s="67">
        <f t="shared" si="1"/>
        <v>0</v>
      </c>
      <c r="F28" s="118">
        <f t="shared" si="2"/>
        <v>0</v>
      </c>
      <c r="G28" s="119"/>
      <c r="H28" s="17"/>
      <c r="I28" s="16" t="s">
        <v>97</v>
      </c>
      <c r="J28" s="67"/>
      <c r="K28" s="132">
        <f>SUM(K24:K27)</f>
        <v>0</v>
      </c>
      <c r="L28" s="125">
        <f>IF(J22&gt;0,J22,SUM(L24:L27))</f>
        <v>108578</v>
      </c>
    </row>
    <row r="29" spans="1:15" ht="13.8" x14ac:dyDescent="0.25">
      <c r="A29" s="15" t="s">
        <v>206</v>
      </c>
      <c r="B29" s="121">
        <f>'EK-Maschinen'!G36+Fuhrpark!G36</f>
        <v>4677.75</v>
      </c>
      <c r="C29" s="85" t="s">
        <v>198</v>
      </c>
      <c r="D29" s="67">
        <f t="shared" si="0"/>
        <v>0</v>
      </c>
      <c r="E29" s="67">
        <f t="shared" si="1"/>
        <v>4677.75</v>
      </c>
      <c r="F29" s="118">
        <f t="shared" si="2"/>
        <v>6.2880717184976382E-3</v>
      </c>
      <c r="G29" s="119"/>
      <c r="H29" s="17"/>
      <c r="I29" s="16"/>
      <c r="J29" s="67"/>
      <c r="K29" s="18"/>
      <c r="L29" s="125">
        <f>L28+L21+L20+L19+L18+L12+L34</f>
        <v>743908.5</v>
      </c>
      <c r="M29" t="s">
        <v>207</v>
      </c>
      <c r="N29" s="97"/>
      <c r="O29" s="125"/>
    </row>
    <row r="30" spans="1:15" ht="13.8" x14ac:dyDescent="0.25">
      <c r="A30" s="15" t="s">
        <v>208</v>
      </c>
      <c r="B30" s="120"/>
      <c r="C30" s="85"/>
      <c r="D30" s="67">
        <f t="shared" si="0"/>
        <v>0</v>
      </c>
      <c r="E30" s="67">
        <f t="shared" si="1"/>
        <v>0</v>
      </c>
      <c r="F30" s="118">
        <f t="shared" si="2"/>
        <v>0</v>
      </c>
      <c r="G30" s="119"/>
      <c r="H30" s="17"/>
      <c r="I30" s="16"/>
      <c r="J30" s="67"/>
      <c r="K30" s="18"/>
    </row>
    <row r="31" spans="1:15" ht="13.8" x14ac:dyDescent="0.25">
      <c r="A31" s="15" t="s">
        <v>209</v>
      </c>
      <c r="B31" s="120"/>
      <c r="C31" s="85"/>
      <c r="D31" s="67">
        <f t="shared" si="0"/>
        <v>0</v>
      </c>
      <c r="E31" s="67">
        <f t="shared" si="1"/>
        <v>0</v>
      </c>
      <c r="F31" s="118">
        <f t="shared" si="2"/>
        <v>0</v>
      </c>
      <c r="G31" s="119"/>
      <c r="H31" s="17" t="s">
        <v>210</v>
      </c>
      <c r="I31" s="16"/>
      <c r="J31" s="123"/>
      <c r="K31" s="18"/>
      <c r="L31">
        <f>IF(J31&gt;0,J31,L3*K27*K31)</f>
        <v>0</v>
      </c>
    </row>
    <row r="32" spans="1:15" ht="13.8" x14ac:dyDescent="0.25">
      <c r="A32" s="15" t="s">
        <v>211</v>
      </c>
      <c r="B32" s="120"/>
      <c r="C32" s="85"/>
      <c r="D32" s="67">
        <f t="shared" si="0"/>
        <v>0</v>
      </c>
      <c r="E32" s="67">
        <f t="shared" si="1"/>
        <v>0</v>
      </c>
      <c r="F32" s="118">
        <f t="shared" si="2"/>
        <v>0</v>
      </c>
      <c r="G32" s="119"/>
      <c r="H32" s="17" t="s">
        <v>212</v>
      </c>
      <c r="I32" s="16"/>
      <c r="J32" s="126"/>
      <c r="K32" s="18"/>
      <c r="L32">
        <f>IF(J32&gt;0,J32,L3*K28*K32)</f>
        <v>0</v>
      </c>
    </row>
    <row r="33" spans="1:12" ht="13.8" x14ac:dyDescent="0.25">
      <c r="A33" s="15" t="s">
        <v>213</v>
      </c>
      <c r="B33" s="120"/>
      <c r="C33" s="85"/>
      <c r="D33" s="67">
        <f t="shared" si="0"/>
        <v>0</v>
      </c>
      <c r="E33" s="67">
        <f t="shared" si="1"/>
        <v>0</v>
      </c>
      <c r="F33" s="118">
        <f t="shared" si="2"/>
        <v>0</v>
      </c>
      <c r="G33" s="119"/>
      <c r="H33" s="17" t="s">
        <v>214</v>
      </c>
      <c r="I33" s="16"/>
      <c r="J33" s="126"/>
      <c r="K33" s="18"/>
      <c r="L33">
        <f>IF(J33&gt;0,J33,L3*K31*K33)</f>
        <v>0</v>
      </c>
    </row>
    <row r="34" spans="1:12" ht="13.8" x14ac:dyDescent="0.25">
      <c r="A34" s="15" t="s">
        <v>215</v>
      </c>
      <c r="B34" s="120">
        <v>14815.35</v>
      </c>
      <c r="C34" s="85" t="s">
        <v>198</v>
      </c>
      <c r="D34" s="67">
        <f t="shared" si="0"/>
        <v>0</v>
      </c>
      <c r="E34" s="67">
        <f t="shared" si="1"/>
        <v>14815.35</v>
      </c>
      <c r="F34" s="118">
        <f t="shared" si="2"/>
        <v>1.9915554130649132E-2</v>
      </c>
      <c r="G34" s="119"/>
      <c r="H34" s="17" t="s">
        <v>216</v>
      </c>
      <c r="I34" s="16"/>
      <c r="J34" s="126">
        <v>2830</v>
      </c>
      <c r="K34" s="18"/>
      <c r="L34" s="135">
        <f>IF(J34&gt;0,J34,L3*K32*K34)</f>
        <v>2830</v>
      </c>
    </row>
    <row r="35" spans="1:12" ht="13.8" x14ac:dyDescent="0.25">
      <c r="A35" s="15" t="s">
        <v>217</v>
      </c>
      <c r="B35" s="131">
        <v>22350</v>
      </c>
      <c r="C35" s="85" t="s">
        <v>198</v>
      </c>
      <c r="D35" s="67">
        <f t="shared" si="0"/>
        <v>0</v>
      </c>
      <c r="E35" s="67">
        <f t="shared" si="1"/>
        <v>22350</v>
      </c>
      <c r="F35" s="118">
        <f t="shared" si="2"/>
        <v>3.0044017510217992E-2</v>
      </c>
      <c r="G35" s="119"/>
      <c r="H35" s="17" t="s">
        <v>218</v>
      </c>
      <c r="I35" s="16"/>
      <c r="J35" s="126"/>
      <c r="K35" s="18"/>
      <c r="L35">
        <f>IF(J35&gt;0,J35,L3*K33*K35)</f>
        <v>0</v>
      </c>
    </row>
    <row r="36" spans="1:12" ht="13.8" x14ac:dyDescent="0.25">
      <c r="A36" s="15" t="s">
        <v>219</v>
      </c>
      <c r="B36" s="67"/>
      <c r="C36" s="67"/>
      <c r="D36" s="67">
        <f t="shared" si="0"/>
        <v>0</v>
      </c>
      <c r="E36" s="67">
        <f t="shared" si="1"/>
        <v>0</v>
      </c>
      <c r="F36" s="118">
        <f t="shared" si="2"/>
        <v>0</v>
      </c>
      <c r="G36" s="119"/>
      <c r="H36" s="17" t="s">
        <v>220</v>
      </c>
      <c r="I36" s="16"/>
      <c r="J36" s="129">
        <v>8230</v>
      </c>
      <c r="K36" s="18"/>
      <c r="L36" s="125">
        <f>IF(J36&gt;0,J36,L3*K34*K36)</f>
        <v>8230</v>
      </c>
    </row>
    <row r="37" spans="1:12" ht="13.8" x14ac:dyDescent="0.25">
      <c r="A37" s="15" t="s">
        <v>221</v>
      </c>
      <c r="B37" s="136">
        <f ca="1">Gebäude!G7+Gewächshäuser!F6+Gewächshäuser!K6+'EK-Maschinen'!G7+Fuhrpark!G7</f>
        <v>76191.266666666663</v>
      </c>
      <c r="C37" s="85" t="s">
        <v>198</v>
      </c>
      <c r="D37" s="67">
        <f t="shared" si="0"/>
        <v>0</v>
      </c>
      <c r="E37" s="67">
        <f ca="1">B37-C83</f>
        <v>20066.666666666657</v>
      </c>
      <c r="F37" s="118">
        <f t="shared" ca="1" si="2"/>
        <v>0.10242021252165645</v>
      </c>
      <c r="G37" s="119"/>
      <c r="H37" s="17"/>
      <c r="I37" s="16"/>
      <c r="J37" s="67"/>
      <c r="K37" s="18"/>
    </row>
    <row r="38" spans="1:12" ht="13.8" x14ac:dyDescent="0.25">
      <c r="A38" s="15" t="s">
        <v>222</v>
      </c>
      <c r="B38" s="120"/>
      <c r="C38" s="85"/>
      <c r="D38" s="67">
        <f t="shared" si="0"/>
        <v>0</v>
      </c>
      <c r="E38" s="67">
        <f t="shared" ref="E38:E43" si="3">IF(C38="GK",B38,0)</f>
        <v>0</v>
      </c>
      <c r="F38" s="118">
        <f t="shared" si="2"/>
        <v>0</v>
      </c>
      <c r="G38" s="119"/>
      <c r="H38" s="17"/>
      <c r="I38" s="16"/>
      <c r="J38" s="67"/>
      <c r="K38" s="18"/>
    </row>
    <row r="39" spans="1:12" ht="13.8" x14ac:dyDescent="0.25">
      <c r="A39" s="15" t="s">
        <v>223</v>
      </c>
      <c r="B39" s="121">
        <f>SUM(Bilanz!D8:D12)*Bilanz!H18</f>
        <v>3205</v>
      </c>
      <c r="C39" s="85" t="s">
        <v>198</v>
      </c>
      <c r="D39" s="67">
        <f t="shared" si="0"/>
        <v>0</v>
      </c>
      <c r="E39" s="67">
        <f t="shared" si="3"/>
        <v>3205</v>
      </c>
      <c r="F39" s="118">
        <f t="shared" si="2"/>
        <v>4.3083255534786874E-3</v>
      </c>
      <c r="G39" s="119"/>
      <c r="H39" s="17"/>
      <c r="I39" s="16"/>
      <c r="J39" s="67"/>
      <c r="K39" s="18"/>
    </row>
    <row r="40" spans="1:12" ht="13.8" x14ac:dyDescent="0.25">
      <c r="A40" s="80" t="s">
        <v>224</v>
      </c>
      <c r="B40" s="67"/>
      <c r="C40" s="67"/>
      <c r="D40" s="67">
        <f t="shared" si="0"/>
        <v>0</v>
      </c>
      <c r="E40" s="67">
        <f t="shared" si="3"/>
        <v>0</v>
      </c>
      <c r="F40" s="118">
        <f t="shared" si="2"/>
        <v>0</v>
      </c>
      <c r="G40" s="119"/>
      <c r="H40" s="17"/>
      <c r="I40" s="16"/>
      <c r="J40" s="67"/>
      <c r="K40" s="18"/>
    </row>
    <row r="41" spans="1:12" ht="13.8" x14ac:dyDescent="0.25">
      <c r="A41" s="15" t="s">
        <v>225</v>
      </c>
      <c r="B41" s="117"/>
      <c r="C41" s="85"/>
      <c r="D41" s="67">
        <f t="shared" si="0"/>
        <v>0</v>
      </c>
      <c r="E41" s="67">
        <f t="shared" si="3"/>
        <v>0</v>
      </c>
      <c r="F41" s="118">
        <f t="shared" si="2"/>
        <v>0</v>
      </c>
      <c r="G41" s="119"/>
      <c r="H41" s="17"/>
      <c r="I41" s="16"/>
      <c r="J41" s="67"/>
      <c r="K41" s="18"/>
    </row>
    <row r="42" spans="1:12" ht="13.8" x14ac:dyDescent="0.25">
      <c r="A42" s="15" t="s">
        <v>226</v>
      </c>
      <c r="B42" s="120"/>
      <c r="C42" s="85"/>
      <c r="D42" s="67">
        <f t="shared" si="0"/>
        <v>0</v>
      </c>
      <c r="E42" s="67">
        <f t="shared" si="3"/>
        <v>0</v>
      </c>
      <c r="F42" s="118">
        <f t="shared" si="2"/>
        <v>0</v>
      </c>
      <c r="G42" s="119"/>
      <c r="H42" s="17"/>
      <c r="I42" s="16"/>
      <c r="J42" s="67"/>
      <c r="K42" s="18"/>
    </row>
    <row r="43" spans="1:12" ht="13.8" x14ac:dyDescent="0.25">
      <c r="A43" s="15" t="s">
        <v>227</v>
      </c>
      <c r="B43" s="120">
        <v>8532</v>
      </c>
      <c r="C43" s="85" t="s">
        <v>198</v>
      </c>
      <c r="D43" s="67">
        <f t="shared" si="0"/>
        <v>0</v>
      </c>
      <c r="E43" s="67">
        <f t="shared" si="3"/>
        <v>8532</v>
      </c>
      <c r="F43" s="118">
        <f t="shared" si="2"/>
        <v>1.1469152456249659E-2</v>
      </c>
      <c r="G43" s="119"/>
      <c r="H43" s="17"/>
      <c r="I43" s="16"/>
      <c r="J43" s="67"/>
      <c r="K43" s="18"/>
    </row>
    <row r="44" spans="1:12" ht="13.8" x14ac:dyDescent="0.25">
      <c r="A44" s="35" t="s">
        <v>228</v>
      </c>
      <c r="B44" s="105">
        <f ca="1">IF(L45&gt;SUM(B3:B43),L45-SUM(B3:B43),0)</f>
        <v>24323.878818917787</v>
      </c>
      <c r="C44" s="105"/>
      <c r="D44" s="67"/>
      <c r="E44" s="67"/>
      <c r="F44" s="118">
        <f t="shared" ca="1" si="2"/>
        <v>3.2697406762952415E-2</v>
      </c>
      <c r="G44" s="119"/>
      <c r="H44" s="54" t="s">
        <v>229</v>
      </c>
      <c r="I44" s="36"/>
      <c r="J44" s="106">
        <f ca="1">IF(SUM(B3:B43)&gt;L45,SUM(B3:B43)-L45,0)</f>
        <v>0</v>
      </c>
      <c r="K44" s="18"/>
    </row>
    <row r="45" spans="1:12" ht="13.8" x14ac:dyDescent="0.25">
      <c r="A45" s="37" t="s">
        <v>97</v>
      </c>
      <c r="B45" s="102">
        <f ca="1">SUM(B4:B44)</f>
        <v>754968.5</v>
      </c>
      <c r="C45" s="102"/>
      <c r="D45" s="67"/>
      <c r="E45" s="67"/>
      <c r="F45" s="118">
        <f t="shared" ca="1" si="2"/>
        <v>1.014867419850694</v>
      </c>
      <c r="G45" s="119"/>
      <c r="H45" s="103"/>
      <c r="I45" s="31"/>
      <c r="J45" s="137">
        <f ca="1">B45</f>
        <v>754968.5</v>
      </c>
      <c r="K45" s="32"/>
      <c r="L45" s="125">
        <f>SUM(L29:L44)</f>
        <v>754968.5</v>
      </c>
    </row>
    <row r="46" spans="1:12" ht="13.8" x14ac:dyDescent="0.25">
      <c r="D46" s="125">
        <f>SUM(D4:D45)</f>
        <v>590519.00451441563</v>
      </c>
      <c r="E46" s="125">
        <f ca="1">SUM(E4:E45)</f>
        <v>84001.016666666663</v>
      </c>
      <c r="F46" s="138"/>
      <c r="G46" s="139"/>
    </row>
    <row r="47" spans="1:12" ht="13.8" x14ac:dyDescent="0.25">
      <c r="A47" t="s">
        <v>230</v>
      </c>
      <c r="B47" s="125">
        <f ca="1">D46-B81</f>
        <v>506298.95650524291</v>
      </c>
      <c r="C47" s="89">
        <f ca="1">B47/(B47+B48)</f>
        <v>0.73941238023635858</v>
      </c>
      <c r="F47" s="138"/>
      <c r="G47" s="139"/>
      <c r="H47" t="s">
        <v>231</v>
      </c>
      <c r="J47" s="140">
        <f>L29</f>
        <v>743908.5</v>
      </c>
    </row>
    <row r="48" spans="1:12" ht="13.8" x14ac:dyDescent="0.25">
      <c r="A48" t="s">
        <v>232</v>
      </c>
      <c r="B48" s="125">
        <f ca="1">B49+B50</f>
        <v>178432.55467583938</v>
      </c>
      <c r="C48" s="89">
        <f ca="1">B48/(B47+B48)</f>
        <v>0.26058761976364131</v>
      </c>
      <c r="F48" s="138"/>
      <c r="G48" s="139"/>
      <c r="J48" s="140"/>
    </row>
    <row r="49" spans="1:10" ht="13.8" x14ac:dyDescent="0.25">
      <c r="A49" t="s">
        <v>658</v>
      </c>
      <c r="B49" s="125">
        <f ca="1">E46-E37+F81</f>
        <v>82108.053209172736</v>
      </c>
      <c r="C49" s="89">
        <f ca="1">B49/(B47+B48)</f>
        <v>0.11991277145628347</v>
      </c>
      <c r="F49" s="138"/>
      <c r="G49" s="139"/>
      <c r="H49" t="s">
        <v>233</v>
      </c>
      <c r="J49" s="128">
        <f ca="1">B37+B44</f>
        <v>100515.14548558445</v>
      </c>
    </row>
    <row r="50" spans="1:10" ht="13.8" x14ac:dyDescent="0.25">
      <c r="A50" t="s">
        <v>659</v>
      </c>
      <c r="B50">
        <f ca="1">H83+H81+H85</f>
        <v>96324.501466666654</v>
      </c>
      <c r="C50" s="141">
        <f ca="1">B50/(B47+B48)</f>
        <v>0.14067484830735782</v>
      </c>
      <c r="F50" s="138"/>
      <c r="G50" s="139"/>
    </row>
    <row r="51" spans="1:10" ht="13.8" x14ac:dyDescent="0.25">
      <c r="F51" s="138"/>
      <c r="G51" s="139"/>
    </row>
    <row r="52" spans="1:10" ht="13.8" x14ac:dyDescent="0.25">
      <c r="A52" t="s">
        <v>234</v>
      </c>
      <c r="B52" s="140">
        <f>(L29-L28)-SUM(B4:B12)</f>
        <v>274184.69000000006</v>
      </c>
      <c r="F52" s="138"/>
      <c r="G52" s="139"/>
    </row>
    <row r="53" spans="1:10" ht="13.8" x14ac:dyDescent="0.25">
      <c r="A53" t="s">
        <v>235</v>
      </c>
      <c r="B53" s="140">
        <f>J24-SUM(B14:B17)</f>
        <v>39537</v>
      </c>
      <c r="F53" s="138"/>
      <c r="G53" s="139"/>
    </row>
    <row r="54" spans="1:10" ht="13.8" x14ac:dyDescent="0.25">
      <c r="F54" s="138"/>
      <c r="G54" s="139"/>
    </row>
    <row r="55" spans="1:10" ht="13.8" x14ac:dyDescent="0.25">
      <c r="F55" s="138"/>
      <c r="G55" s="139"/>
    </row>
    <row r="56" spans="1:10" ht="13.8" x14ac:dyDescent="0.25">
      <c r="F56" s="138"/>
      <c r="G56" s="139"/>
    </row>
    <row r="57" spans="1:10" ht="13.8" x14ac:dyDescent="0.25">
      <c r="F57" s="138"/>
      <c r="G57" s="139"/>
    </row>
    <row r="58" spans="1:10" ht="13.8" x14ac:dyDescent="0.25">
      <c r="F58" s="138"/>
      <c r="G58" s="139"/>
    </row>
    <row r="59" spans="1:10" ht="13.8" x14ac:dyDescent="0.25">
      <c r="F59" s="138"/>
      <c r="G59" s="139"/>
    </row>
    <row r="60" spans="1:10" ht="13.8" x14ac:dyDescent="0.25">
      <c r="F60" s="138"/>
      <c r="G60" s="139"/>
    </row>
    <row r="61" spans="1:10" ht="13.8" x14ac:dyDescent="0.25">
      <c r="F61" s="138"/>
      <c r="G61" s="139"/>
    </row>
    <row r="62" spans="1:10" ht="13.8" x14ac:dyDescent="0.25">
      <c r="F62" s="138"/>
      <c r="G62" s="139"/>
    </row>
    <row r="63" spans="1:10" ht="13.8" x14ac:dyDescent="0.25"/>
    <row r="64" spans="1:10" ht="13.8" x14ac:dyDescent="0.25"/>
    <row r="65" spans="1:8" ht="13.8" x14ac:dyDescent="0.25"/>
    <row r="66" spans="1:8" ht="13.8" x14ac:dyDescent="0.25"/>
    <row r="67" spans="1:8" ht="13.8" x14ac:dyDescent="0.25"/>
    <row r="68" spans="1:8" ht="13.8" x14ac:dyDescent="0.25"/>
    <row r="69" spans="1:8" ht="13.8" x14ac:dyDescent="0.25"/>
    <row r="70" spans="1:8" ht="13.8" x14ac:dyDescent="0.25"/>
    <row r="71" spans="1:8" ht="13.8" x14ac:dyDescent="0.25"/>
    <row r="72" spans="1:8" ht="13.8" x14ac:dyDescent="0.25">
      <c r="F72" s="27" t="s">
        <v>112</v>
      </c>
    </row>
    <row r="73" spans="1:8" ht="13.8" x14ac:dyDescent="0.25">
      <c r="A73" t="s">
        <v>236</v>
      </c>
      <c r="F73" s="27" t="s">
        <v>237</v>
      </c>
      <c r="H73" t="s">
        <v>238</v>
      </c>
    </row>
    <row r="74" spans="1:8" ht="13.8" x14ac:dyDescent="0.25">
      <c r="A74" t="str">
        <f>Lohnansatz!A13</f>
        <v>davon im Büro: (%)</v>
      </c>
      <c r="B74" s="125">
        <f ca="1">IF(C74="GK",Lohnansatz!G13+Lohnkalk!L80,0)</f>
        <v>50327.308599999997</v>
      </c>
      <c r="C74" s="85" t="s">
        <v>198</v>
      </c>
      <c r="F74" s="388">
        <f>IF(C74="GK",BDL!E6,0)</f>
        <v>0</v>
      </c>
      <c r="H74" s="387">
        <f ca="1">IF(C74="GK",BDL!F6,0)</f>
        <v>50327.308599999997</v>
      </c>
    </row>
    <row r="75" spans="1:8" ht="13.8" x14ac:dyDescent="0.25">
      <c r="A75" t="str">
        <f>Lohnansatz!A14</f>
        <v>davon im Außendienst: (%)</v>
      </c>
      <c r="B75" s="125">
        <f ca="1">IF(C75="GK",Lohnansatz!G14+Lohnkalk!L81,0)</f>
        <v>12548.8362</v>
      </c>
      <c r="C75" s="85" t="s">
        <v>198</v>
      </c>
      <c r="F75" s="388">
        <f>IF(C75="GK",BDL!E7,0)</f>
        <v>0</v>
      </c>
      <c r="H75" s="387">
        <f ca="1">IF(C75="GK",BDL!F7,0)</f>
        <v>12548.8362</v>
      </c>
    </row>
    <row r="76" spans="1:8" ht="13.8" x14ac:dyDescent="0.25">
      <c r="A76" t="str">
        <f>Lohnansatz!A15</f>
        <v>davon in den Kulturen: (%)</v>
      </c>
      <c r="B76" s="125">
        <f>IF(C76="GK",Lohnansatz!G15+Lohnkalk!L82,0)</f>
        <v>0</v>
      </c>
      <c r="C76" s="85" t="s">
        <v>164</v>
      </c>
      <c r="F76" s="388">
        <f>IF(C76="GK",BDL!E8,0)</f>
        <v>0</v>
      </c>
      <c r="H76" s="387">
        <f>IF(C76="GK",BDL!F8,0)</f>
        <v>0</v>
      </c>
    </row>
    <row r="77" spans="1:8" ht="13.8" x14ac:dyDescent="0.25">
      <c r="A77" t="str">
        <f>Lohnansatz!A16</f>
        <v>davon im Endverkauf: (%)</v>
      </c>
      <c r="B77" s="125">
        <f ca="1">IF(C77="GK",Lohnansatz!G16+Lohnkalk!L83,0)</f>
        <v>14862.007926659133</v>
      </c>
      <c r="C77" s="85" t="s">
        <v>198</v>
      </c>
      <c r="F77" s="388">
        <f>IF(C77="GK",BDL!E9,0)</f>
        <v>11691.807926659132</v>
      </c>
      <c r="H77" s="387">
        <f ca="1">IF(C77="GK",BDL!F9,0)</f>
        <v>3170.2000000000003</v>
      </c>
    </row>
    <row r="78" spans="1:8" ht="13.8" x14ac:dyDescent="0.25">
      <c r="A78" t="str">
        <f>Lohnansatz!A17</f>
        <v>davon im Dienstleistungsbereich: (%):</v>
      </c>
      <c r="B78" s="125">
        <f>IF(C78="GK",Lohnansatz!G17+Lohnkalk!L84,0)</f>
        <v>0</v>
      </c>
      <c r="C78" s="85" t="s">
        <v>164</v>
      </c>
      <c r="F78" s="388">
        <f>IF(C78="GK",BDL!E10,0)</f>
        <v>0</v>
      </c>
      <c r="H78" s="387">
        <f>IF(C78="GK",BDL!F10,0)</f>
        <v>0</v>
      </c>
    </row>
    <row r="79" spans="1:8" ht="13.8" x14ac:dyDescent="0.25">
      <c r="A79" t="str">
        <f>Lohnansatz!A18</f>
        <v>Objektgestaltung</v>
      </c>
      <c r="B79" s="125">
        <f ca="1">IF(C79="GK",Lohnansatz!G18+Lohnkalk!L85,0)</f>
        <v>6481.8952825135921</v>
      </c>
      <c r="C79" s="85" t="s">
        <v>198</v>
      </c>
      <c r="F79" s="388">
        <f>IF(C79="GK",BDL!E11,0)</f>
        <v>6481.8952825135921</v>
      </c>
      <c r="H79" s="387">
        <f ca="1">IF(C79="GK",BDL!F11,0)</f>
        <v>0</v>
      </c>
    </row>
    <row r="80" spans="1:8" ht="13.8" x14ac:dyDescent="0.25">
      <c r="A80">
        <f>Lohnansatz!A19</f>
        <v>0</v>
      </c>
      <c r="B80" s="125">
        <f>IF(C80="GK",Lohnansatz!G19+Lohnkalk!L86,0)</f>
        <v>0</v>
      </c>
      <c r="C80" s="85"/>
      <c r="F80" s="388">
        <f>IF(C80="GK",BDL!E12,0)</f>
        <v>0</v>
      </c>
      <c r="H80" s="387">
        <f>IF(C80="GK",BDL!F12,0)</f>
        <v>0</v>
      </c>
    </row>
    <row r="81" spans="1:9" ht="13.8" x14ac:dyDescent="0.25">
      <c r="A81" t="s">
        <v>245</v>
      </c>
      <c r="B81" s="125">
        <f ca="1">SUM(B74:B80)</f>
        <v>84220.048009172722</v>
      </c>
      <c r="F81" s="388">
        <f>SUM(F74:F80)</f>
        <v>18173.703209172723</v>
      </c>
      <c r="H81" s="387">
        <f ca="1">SUM(H74:H80)</f>
        <v>66046.344799999992</v>
      </c>
    </row>
    <row r="82" spans="1:9" ht="13.8" x14ac:dyDescent="0.25">
      <c r="F82" s="388"/>
      <c r="H82" s="387"/>
    </row>
    <row r="83" spans="1:9" ht="13.8" x14ac:dyDescent="0.25">
      <c r="A83" t="s">
        <v>246</v>
      </c>
      <c r="C83" s="389">
        <f ca="1">Gewächshäuser!F6+Gewächshäuser!K6+'EK-Maschinen'!G7</f>
        <v>56124.600000000006</v>
      </c>
      <c r="D83" s="389"/>
      <c r="E83" s="389"/>
      <c r="F83" s="389"/>
      <c r="H83" s="387">
        <f ca="1">B37-C83</f>
        <v>20066.666666666657</v>
      </c>
      <c r="I83" t="s">
        <v>247</v>
      </c>
    </row>
    <row r="84" spans="1:9" ht="13.8" x14ac:dyDescent="0.25">
      <c r="H84" s="387"/>
    </row>
    <row r="85" spans="1:9" ht="13.8" x14ac:dyDescent="0.25">
      <c r="H85" s="387">
        <f ca="1">Bilanz!I17</f>
        <v>10211.49</v>
      </c>
      <c r="I85" t="s">
        <v>248</v>
      </c>
    </row>
  </sheetData>
  <sheetProtection sheet="1" objects="1" scenarios="1" selectLockedCells="1"/>
  <mergeCells count="2">
    <mergeCell ref="A1:K1"/>
    <mergeCell ref="C83:F83"/>
  </mergeCell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workbookViewId="0">
      <selection activeCell="B4" sqref="B4"/>
    </sheetView>
  </sheetViews>
  <sheetFormatPr baseColWidth="10" defaultRowHeight="13.8" x14ac:dyDescent="0.25"/>
  <cols>
    <col min="1" max="1" width="24" customWidth="1"/>
    <col min="2" max="2" width="12.296875" customWidth="1"/>
    <col min="3" max="3" width="11.5" customWidth="1"/>
    <col min="4" max="4" width="9.09765625" customWidth="1"/>
    <col min="5" max="5" width="9" customWidth="1"/>
    <col min="6" max="6" width="8.8984375" customWidth="1"/>
    <col min="7" max="7" width="14" customWidth="1"/>
    <col min="8" max="1024" width="7.8984375" customWidth="1"/>
  </cols>
  <sheetData>
    <row r="1" spans="1:9" ht="22.8" x14ac:dyDescent="0.4">
      <c r="A1" s="143" t="s">
        <v>249</v>
      </c>
      <c r="B1" s="143"/>
      <c r="C1" s="143"/>
      <c r="D1" s="143"/>
      <c r="E1" s="143"/>
      <c r="F1" s="144" t="s">
        <v>10</v>
      </c>
      <c r="G1" s="143"/>
    </row>
    <row r="2" spans="1:9" ht="15.6" x14ac:dyDescent="0.3">
      <c r="A2" s="145" t="s">
        <v>250</v>
      </c>
      <c r="B2" s="146"/>
      <c r="C2" s="146"/>
      <c r="G2" s="147">
        <f ca="1">GuV!J45</f>
        <v>754968.5</v>
      </c>
      <c r="H2" s="148" t="s">
        <v>251</v>
      </c>
    </row>
    <row r="3" spans="1:9" x14ac:dyDescent="0.25">
      <c r="B3" s="149" t="s">
        <v>252</v>
      </c>
      <c r="C3" t="str">
        <f>IF(C8&gt;0,"Fam.AK","Leer")</f>
        <v>Fam.AK</v>
      </c>
      <c r="D3" t="str">
        <f>IF(D8&gt;0,"Fam.AK","Leer")</f>
        <v>Leer</v>
      </c>
      <c r="E3" t="str">
        <f>IF(E8&gt;0,"Fam.AK","Leer")</f>
        <v>Leer</v>
      </c>
      <c r="F3" t="str">
        <f>IF(F8&gt;0,"Fam.AK","Leer")</f>
        <v>Leer</v>
      </c>
      <c r="G3" t="s">
        <v>253</v>
      </c>
    </row>
    <row r="4" spans="1:9" x14ac:dyDescent="0.25">
      <c r="A4" t="s">
        <v>254</v>
      </c>
      <c r="B4" s="150" t="s">
        <v>255</v>
      </c>
      <c r="C4" s="150" t="s">
        <v>256</v>
      </c>
      <c r="D4" s="150"/>
      <c r="E4" s="150"/>
      <c r="F4" s="150"/>
    </row>
    <row r="5" spans="1:9" x14ac:dyDescent="0.25">
      <c r="A5" t="s">
        <v>257</v>
      </c>
      <c r="B5" s="151">
        <v>42</v>
      </c>
      <c r="C5" s="151">
        <v>38</v>
      </c>
      <c r="D5" s="151"/>
      <c r="E5" s="151"/>
      <c r="F5" s="151"/>
    </row>
    <row r="6" spans="1:9" s="152" customFormat="1" x14ac:dyDescent="0.25">
      <c r="B6" s="153">
        <f>IF(B3="Leer",0,IF(AND(B5&gt;=18,B5&lt;=65),1,0.5))</f>
        <v>1</v>
      </c>
      <c r="C6" s="153">
        <f>IF(C3="Leer",0,IF(AND(C5&gt;=18,C5&lt;=65),1,0.5))</f>
        <v>1</v>
      </c>
      <c r="D6" s="153">
        <f>IF(D3="Leer",0,IF(AND(D5&gt;=18,D5&lt;=65),1,0.5))</f>
        <v>0</v>
      </c>
      <c r="E6" s="153">
        <f>IF(E3="Leer",0,IF(AND(E5&gt;=18,E5&lt;=65),1,0.5))</f>
        <v>0</v>
      </c>
      <c r="F6" s="153">
        <f>IF(F3="Leer",0,IF(AND(F5&gt;=18,F5&lt;=65),1,0.5))</f>
        <v>0</v>
      </c>
    </row>
    <row r="7" spans="1:9" s="152" customFormat="1" x14ac:dyDescent="0.25">
      <c r="A7" s="152" t="s">
        <v>258</v>
      </c>
      <c r="B7" s="154">
        <f>IF(B10&lt;270,B6*B10/270,B6)</f>
        <v>1</v>
      </c>
      <c r="C7" s="154">
        <f>IF(C10&lt;270,C6*C10/270,C6)</f>
        <v>0.5</v>
      </c>
      <c r="D7" s="154">
        <f>IF(D10&lt;270,D6*D10/270,D6)</f>
        <v>0</v>
      </c>
      <c r="E7" s="154">
        <f>IF(E10&lt;270,E6*E10/270,E6)</f>
        <v>0</v>
      </c>
      <c r="F7" s="154">
        <f>IF(F10&lt;270,F6*F10/270,F6)</f>
        <v>0</v>
      </c>
      <c r="G7" s="155">
        <f>SUM(B7:F7)</f>
        <v>1.5</v>
      </c>
      <c r="H7" s="156"/>
    </row>
    <row r="8" spans="1:9" x14ac:dyDescent="0.25">
      <c r="A8" t="s">
        <v>249</v>
      </c>
      <c r="B8" s="85">
        <v>43115</v>
      </c>
      <c r="C8" s="85">
        <v>31702</v>
      </c>
      <c r="D8" s="85"/>
      <c r="E8" s="85"/>
      <c r="F8" s="85"/>
      <c r="G8" s="157"/>
      <c r="H8" s="8"/>
    </row>
    <row r="9" spans="1:9" x14ac:dyDescent="0.25">
      <c r="A9" t="s">
        <v>259</v>
      </c>
      <c r="B9" s="158">
        <f ca="1">130/5000*G2</f>
        <v>19629.181</v>
      </c>
      <c r="C9" s="157"/>
      <c r="D9" s="157"/>
      <c r="E9" s="157"/>
      <c r="F9" s="157"/>
      <c r="G9" s="159">
        <f ca="1">SUM(B11:F11)+B9</f>
        <v>78595.180999999997</v>
      </c>
      <c r="H9" s="160" t="s">
        <v>19</v>
      </c>
      <c r="I9" t="s">
        <v>260</v>
      </c>
    </row>
    <row r="10" spans="1:9" x14ac:dyDescent="0.25">
      <c r="A10" t="s">
        <v>261</v>
      </c>
      <c r="B10" s="161">
        <v>270</v>
      </c>
      <c r="C10" s="161">
        <v>135</v>
      </c>
      <c r="D10" s="161"/>
      <c r="E10" s="161"/>
      <c r="F10" s="161"/>
      <c r="G10" s="162"/>
    </row>
    <row r="11" spans="1:9" s="139" customFormat="1" x14ac:dyDescent="0.25">
      <c r="A11" s="153"/>
      <c r="B11" s="67">
        <f>B8/270*B10</f>
        <v>43115</v>
      </c>
      <c r="C11" s="67">
        <f>C8/270*C10</f>
        <v>15851</v>
      </c>
      <c r="D11" s="67">
        <f>D8/270*D10</f>
        <v>0</v>
      </c>
      <c r="E11" s="67">
        <f>E8/270*E10</f>
        <v>0</v>
      </c>
      <c r="F11" s="67">
        <f>F8/270*F10</f>
        <v>0</v>
      </c>
      <c r="G11" s="163"/>
    </row>
    <row r="12" spans="1:9" x14ac:dyDescent="0.25">
      <c r="A12" t="s">
        <v>262</v>
      </c>
      <c r="B12" s="164">
        <f>B10*8</f>
        <v>2160</v>
      </c>
      <c r="C12" s="164">
        <f>C10*8</f>
        <v>1080</v>
      </c>
      <c r="D12" s="164">
        <f>D10*8</f>
        <v>0</v>
      </c>
      <c r="E12" s="164">
        <f>E10*8</f>
        <v>0</v>
      </c>
      <c r="F12" s="164">
        <f>F10*8</f>
        <v>0</v>
      </c>
      <c r="G12" s="164">
        <f>SUM(B12:F12)</f>
        <v>3240</v>
      </c>
    </row>
    <row r="13" spans="1:9" x14ac:dyDescent="0.25">
      <c r="A13" t="s">
        <v>239</v>
      </c>
      <c r="B13" s="53">
        <v>0.6</v>
      </c>
      <c r="C13" s="53">
        <v>0.8</v>
      </c>
      <c r="D13" s="53"/>
      <c r="E13" s="53"/>
      <c r="F13" s="53"/>
      <c r="G13" s="158">
        <f ca="1">SUM(B$30:F$30)</f>
        <v>50327.308599999997</v>
      </c>
    </row>
    <row r="14" spans="1:9" x14ac:dyDescent="0.25">
      <c r="A14" t="s">
        <v>240</v>
      </c>
      <c r="B14" s="53">
        <v>0.2</v>
      </c>
      <c r="C14" s="53"/>
      <c r="D14" s="53"/>
      <c r="E14" s="53"/>
      <c r="F14" s="53"/>
      <c r="G14" s="158">
        <f ca="1">SUM(B$31:F$31)</f>
        <v>12548.8362</v>
      </c>
    </row>
    <row r="15" spans="1:9" x14ac:dyDescent="0.25">
      <c r="A15" s="139" t="s">
        <v>241</v>
      </c>
      <c r="B15" s="53">
        <v>0.1</v>
      </c>
      <c r="C15" s="53"/>
      <c r="D15" s="53"/>
      <c r="E15" s="53"/>
      <c r="F15" s="53"/>
      <c r="G15" s="158">
        <f ca="1">SUM(B$32:F$32)</f>
        <v>6274.4180999999999</v>
      </c>
    </row>
    <row r="16" spans="1:9" x14ac:dyDescent="0.25">
      <c r="A16" t="s">
        <v>242</v>
      </c>
      <c r="B16" s="53"/>
      <c r="C16" s="53">
        <v>0.2</v>
      </c>
      <c r="D16" s="53"/>
      <c r="E16" s="53"/>
      <c r="F16" s="53"/>
      <c r="G16" s="158">
        <f ca="1">SUM(B$33:F$33)</f>
        <v>3170.2000000000003</v>
      </c>
    </row>
    <row r="17" spans="1:7" x14ac:dyDescent="0.25">
      <c r="A17" s="139" t="s">
        <v>243</v>
      </c>
      <c r="B17" s="53"/>
      <c r="C17" s="53"/>
      <c r="D17" s="53"/>
      <c r="E17" s="53"/>
      <c r="F17" s="53"/>
      <c r="G17" s="158">
        <f ca="1">SUM(B$34:F$34)</f>
        <v>0</v>
      </c>
    </row>
    <row r="18" spans="1:7" x14ac:dyDescent="0.25">
      <c r="A18" s="9" t="s">
        <v>244</v>
      </c>
      <c r="B18" s="53"/>
      <c r="C18" s="53"/>
      <c r="D18" s="53"/>
      <c r="E18" s="53"/>
      <c r="F18" s="53"/>
      <c r="G18" s="158">
        <f ca="1">SUM(B$35:F$35)</f>
        <v>0</v>
      </c>
    </row>
    <row r="19" spans="1:7" x14ac:dyDescent="0.25">
      <c r="A19" s="9"/>
      <c r="B19" s="53"/>
      <c r="C19" s="53"/>
      <c r="D19" s="53"/>
      <c r="E19" s="53"/>
      <c r="F19" s="53"/>
      <c r="G19" s="158">
        <f ca="1">SUM(B$36:F$36)</f>
        <v>0</v>
      </c>
    </row>
    <row r="20" spans="1:7" s="153" customFormat="1" x14ac:dyDescent="0.25">
      <c r="A20" s="165" t="s">
        <v>263</v>
      </c>
      <c r="B20" s="166">
        <f>SUM(B13:B19)</f>
        <v>0.9</v>
      </c>
      <c r="C20" s="166">
        <f>SUM(C13:C19)</f>
        <v>1</v>
      </c>
      <c r="D20" s="166">
        <f>SUM(D13:D19)</f>
        <v>0</v>
      </c>
      <c r="E20" s="166">
        <f>SUM(E13:E19)</f>
        <v>0</v>
      </c>
      <c r="F20" s="166">
        <f>SUM(F13:F19)</f>
        <v>0</v>
      </c>
      <c r="G20" s="67"/>
    </row>
    <row r="21" spans="1:7" x14ac:dyDescent="0.25">
      <c r="A21" t="s">
        <v>264</v>
      </c>
      <c r="B21" s="164">
        <f>SUM(B13:B19)*B12</f>
        <v>1944</v>
      </c>
      <c r="C21" s="164">
        <f>SUM(C13:C19)*C12</f>
        <v>1080</v>
      </c>
      <c r="D21" s="164">
        <f>SUM(D13:D19)*D12</f>
        <v>0</v>
      </c>
      <c r="E21" s="164">
        <f>SUM(E13:E19)*E12</f>
        <v>0</v>
      </c>
      <c r="F21" s="164">
        <f>SUM(F13:F19)*F12</f>
        <v>0</v>
      </c>
      <c r="G21" s="167">
        <f t="shared" ref="G21:G37" si="0">SUM(B21:F21)</f>
        <v>3024</v>
      </c>
    </row>
    <row r="22" spans="1:7" x14ac:dyDescent="0.25">
      <c r="A22" t="s">
        <v>265</v>
      </c>
      <c r="B22" s="164">
        <f>B12-B21</f>
        <v>216</v>
      </c>
      <c r="C22" s="164">
        <f>C12-C21</f>
        <v>0</v>
      </c>
      <c r="D22" s="164">
        <f>D12-D21</f>
        <v>0</v>
      </c>
      <c r="E22" s="164">
        <f>E12-E21</f>
        <v>0</v>
      </c>
      <c r="F22" s="164">
        <f>F12-F21</f>
        <v>0</v>
      </c>
      <c r="G22" s="168">
        <f t="shared" si="0"/>
        <v>216</v>
      </c>
    </row>
    <row r="23" spans="1:7" x14ac:dyDescent="0.25">
      <c r="A23" t="s">
        <v>266</v>
      </c>
      <c r="B23" s="164">
        <f t="shared" ref="B23:F29" si="1">B$12*B13</f>
        <v>1296</v>
      </c>
      <c r="C23" s="164">
        <f t="shared" si="1"/>
        <v>864</v>
      </c>
      <c r="D23" s="164">
        <f t="shared" si="1"/>
        <v>0</v>
      </c>
      <c r="E23" s="164">
        <f t="shared" si="1"/>
        <v>0</v>
      </c>
      <c r="F23" s="164">
        <f t="shared" si="1"/>
        <v>0</v>
      </c>
      <c r="G23" s="169">
        <f t="shared" si="0"/>
        <v>2160</v>
      </c>
    </row>
    <row r="24" spans="1:7" x14ac:dyDescent="0.25">
      <c r="A24" t="s">
        <v>267</v>
      </c>
      <c r="B24" s="164">
        <f t="shared" si="1"/>
        <v>432</v>
      </c>
      <c r="C24" s="164">
        <f t="shared" si="1"/>
        <v>0</v>
      </c>
      <c r="D24" s="164">
        <f t="shared" si="1"/>
        <v>0</v>
      </c>
      <c r="E24" s="164">
        <f t="shared" si="1"/>
        <v>0</v>
      </c>
      <c r="F24" s="164">
        <f t="shared" si="1"/>
        <v>0</v>
      </c>
      <c r="G24" s="169">
        <f t="shared" si="0"/>
        <v>432</v>
      </c>
    </row>
    <row r="25" spans="1:7" x14ac:dyDescent="0.25">
      <c r="A25" t="s">
        <v>268</v>
      </c>
      <c r="B25" s="164">
        <f t="shared" si="1"/>
        <v>216</v>
      </c>
      <c r="C25" s="164">
        <f t="shared" si="1"/>
        <v>0</v>
      </c>
      <c r="D25" s="164">
        <f t="shared" si="1"/>
        <v>0</v>
      </c>
      <c r="E25" s="164">
        <f t="shared" si="1"/>
        <v>0</v>
      </c>
      <c r="F25" s="164">
        <f t="shared" si="1"/>
        <v>0</v>
      </c>
      <c r="G25" s="169">
        <f t="shared" si="0"/>
        <v>216</v>
      </c>
    </row>
    <row r="26" spans="1:7" x14ac:dyDescent="0.25">
      <c r="A26" t="s">
        <v>269</v>
      </c>
      <c r="B26" s="164">
        <f t="shared" si="1"/>
        <v>0</v>
      </c>
      <c r="C26" s="164">
        <f t="shared" si="1"/>
        <v>216</v>
      </c>
      <c r="D26" s="164">
        <f t="shared" si="1"/>
        <v>0</v>
      </c>
      <c r="E26" s="164">
        <f t="shared" si="1"/>
        <v>0</v>
      </c>
      <c r="F26" s="164">
        <f t="shared" si="1"/>
        <v>0</v>
      </c>
      <c r="G26" s="169">
        <f t="shared" si="0"/>
        <v>216</v>
      </c>
    </row>
    <row r="27" spans="1:7" x14ac:dyDescent="0.25">
      <c r="A27" t="s">
        <v>270</v>
      </c>
      <c r="B27" s="164">
        <f t="shared" si="1"/>
        <v>0</v>
      </c>
      <c r="C27" s="164">
        <f t="shared" si="1"/>
        <v>0</v>
      </c>
      <c r="D27" s="164">
        <f t="shared" si="1"/>
        <v>0</v>
      </c>
      <c r="E27" s="164">
        <f t="shared" si="1"/>
        <v>0</v>
      </c>
      <c r="F27" s="164">
        <f t="shared" si="1"/>
        <v>0</v>
      </c>
      <c r="G27" s="169">
        <f t="shared" si="0"/>
        <v>0</v>
      </c>
    </row>
    <row r="28" spans="1:7" x14ac:dyDescent="0.25">
      <c r="A28" t="str">
        <f>A18</f>
        <v>Objektgestaltung</v>
      </c>
      <c r="B28" s="164">
        <f t="shared" si="1"/>
        <v>0</v>
      </c>
      <c r="C28" s="164">
        <f t="shared" si="1"/>
        <v>0</v>
      </c>
      <c r="D28" s="164">
        <f t="shared" si="1"/>
        <v>0</v>
      </c>
      <c r="E28" s="164">
        <f t="shared" si="1"/>
        <v>0</v>
      </c>
      <c r="F28" s="164">
        <f t="shared" si="1"/>
        <v>0</v>
      </c>
      <c r="G28" s="169">
        <f t="shared" si="0"/>
        <v>0</v>
      </c>
    </row>
    <row r="29" spans="1:7" x14ac:dyDescent="0.25">
      <c r="A29">
        <f>A19</f>
        <v>0</v>
      </c>
      <c r="B29" s="164">
        <f t="shared" si="1"/>
        <v>0</v>
      </c>
      <c r="C29" s="164">
        <f t="shared" si="1"/>
        <v>0</v>
      </c>
      <c r="D29" s="164">
        <f t="shared" si="1"/>
        <v>0</v>
      </c>
      <c r="E29" s="164">
        <f t="shared" si="1"/>
        <v>0</v>
      </c>
      <c r="F29" s="164">
        <f t="shared" si="1"/>
        <v>0</v>
      </c>
      <c r="G29" s="169">
        <f t="shared" si="0"/>
        <v>0</v>
      </c>
    </row>
    <row r="30" spans="1:7" x14ac:dyDescent="0.25">
      <c r="A30" t="s">
        <v>271</v>
      </c>
      <c r="B30" s="158">
        <f t="shared" ref="B30:B36" ca="1" si="2">(B$11+B$9)/B$12*B23</f>
        <v>37646.508599999994</v>
      </c>
      <c r="C30" s="158">
        <f t="shared" ref="C30:F36" si="3">IF(C$3="Leer",0,(C$11+C$9)/C$12*C23)</f>
        <v>12680.800000000001</v>
      </c>
      <c r="D30" s="158">
        <f t="shared" si="3"/>
        <v>0</v>
      </c>
      <c r="E30" s="158">
        <f t="shared" si="3"/>
        <v>0</v>
      </c>
      <c r="F30" s="158">
        <f t="shared" si="3"/>
        <v>0</v>
      </c>
      <c r="G30" s="67">
        <f t="shared" ca="1" si="0"/>
        <v>50327.308599999997</v>
      </c>
    </row>
    <row r="31" spans="1:7" x14ac:dyDescent="0.25">
      <c r="A31" t="s">
        <v>272</v>
      </c>
      <c r="B31" s="158">
        <f t="shared" ca="1" si="2"/>
        <v>12548.8362</v>
      </c>
      <c r="C31" s="158">
        <f t="shared" si="3"/>
        <v>0</v>
      </c>
      <c r="D31" s="158">
        <f t="shared" si="3"/>
        <v>0</v>
      </c>
      <c r="E31" s="158">
        <f t="shared" si="3"/>
        <v>0</v>
      </c>
      <c r="F31" s="158">
        <f t="shared" si="3"/>
        <v>0</v>
      </c>
      <c r="G31" s="67">
        <f t="shared" ca="1" si="0"/>
        <v>12548.8362</v>
      </c>
    </row>
    <row r="32" spans="1:7" x14ac:dyDescent="0.25">
      <c r="A32" t="s">
        <v>273</v>
      </c>
      <c r="B32" s="158">
        <f t="shared" ca="1" si="2"/>
        <v>6274.4180999999999</v>
      </c>
      <c r="C32" s="158">
        <f t="shared" si="3"/>
        <v>0</v>
      </c>
      <c r="D32" s="158">
        <f t="shared" si="3"/>
        <v>0</v>
      </c>
      <c r="E32" s="158">
        <f t="shared" si="3"/>
        <v>0</v>
      </c>
      <c r="F32" s="158">
        <f t="shared" si="3"/>
        <v>0</v>
      </c>
      <c r="G32" s="67">
        <f t="shared" ca="1" si="0"/>
        <v>6274.4180999999999</v>
      </c>
    </row>
    <row r="33" spans="1:7" x14ac:dyDescent="0.25">
      <c r="A33" t="s">
        <v>274</v>
      </c>
      <c r="B33" s="158">
        <f t="shared" ca="1" si="2"/>
        <v>0</v>
      </c>
      <c r="C33" s="158">
        <f t="shared" si="3"/>
        <v>3170.2000000000003</v>
      </c>
      <c r="D33" s="158">
        <f t="shared" si="3"/>
        <v>0</v>
      </c>
      <c r="E33" s="158">
        <f t="shared" si="3"/>
        <v>0</v>
      </c>
      <c r="F33" s="158">
        <f t="shared" si="3"/>
        <v>0</v>
      </c>
      <c r="G33" s="67">
        <f t="shared" ca="1" si="0"/>
        <v>3170.2000000000003</v>
      </c>
    </row>
    <row r="34" spans="1:7" x14ac:dyDescent="0.25">
      <c r="A34" t="s">
        <v>275</v>
      </c>
      <c r="B34" s="158">
        <f t="shared" ca="1" si="2"/>
        <v>0</v>
      </c>
      <c r="C34" s="158">
        <f t="shared" si="3"/>
        <v>0</v>
      </c>
      <c r="D34" s="158">
        <f t="shared" si="3"/>
        <v>0</v>
      </c>
      <c r="E34" s="158">
        <f t="shared" si="3"/>
        <v>0</v>
      </c>
      <c r="F34" s="158">
        <f t="shared" si="3"/>
        <v>0</v>
      </c>
      <c r="G34" s="67">
        <f t="shared" ca="1" si="0"/>
        <v>0</v>
      </c>
    </row>
    <row r="35" spans="1:7" x14ac:dyDescent="0.25">
      <c r="A35" t="str">
        <f>A18</f>
        <v>Objektgestaltung</v>
      </c>
      <c r="B35" s="158">
        <f t="shared" ca="1" si="2"/>
        <v>0</v>
      </c>
      <c r="C35" s="158">
        <f t="shared" si="3"/>
        <v>0</v>
      </c>
      <c r="D35" s="158">
        <f t="shared" si="3"/>
        <v>0</v>
      </c>
      <c r="E35" s="158">
        <f t="shared" si="3"/>
        <v>0</v>
      </c>
      <c r="F35" s="158">
        <f t="shared" si="3"/>
        <v>0</v>
      </c>
      <c r="G35" s="67">
        <f t="shared" ca="1" si="0"/>
        <v>0</v>
      </c>
    </row>
    <row r="36" spans="1:7" x14ac:dyDescent="0.25">
      <c r="A36">
        <f>A19</f>
        <v>0</v>
      </c>
      <c r="B36" s="158">
        <f t="shared" ca="1" si="2"/>
        <v>0</v>
      </c>
      <c r="C36" s="158">
        <f t="shared" si="3"/>
        <v>0</v>
      </c>
      <c r="D36" s="158">
        <f t="shared" si="3"/>
        <v>0</v>
      </c>
      <c r="E36" s="158">
        <f t="shared" si="3"/>
        <v>0</v>
      </c>
      <c r="F36" s="158">
        <f t="shared" si="3"/>
        <v>0</v>
      </c>
      <c r="G36" s="67">
        <f t="shared" ca="1" si="0"/>
        <v>0</v>
      </c>
    </row>
    <row r="37" spans="1:7" x14ac:dyDescent="0.25">
      <c r="A37" t="s">
        <v>265</v>
      </c>
      <c r="B37" s="158">
        <f ca="1">(B$11+B$9)/B$12*B$22</f>
        <v>6274.4180999999999</v>
      </c>
      <c r="C37" s="158">
        <f>IF(C3="Leer",0,(C$11+C$9)/C$12*C$22)</f>
        <v>0</v>
      </c>
      <c r="D37" s="158">
        <f>IF(D3="Leer",0,(D$11+D$9)/D$12*D$22)</f>
        <v>0</v>
      </c>
      <c r="E37" s="158">
        <f>IF(E3="Leer",0,(E$11+E$9)/E$12*E$22)</f>
        <v>0</v>
      </c>
      <c r="F37" s="158">
        <f>IF(F3="Leer",0,(F$11+F$9)/F$12*F$22)</f>
        <v>0</v>
      </c>
      <c r="G37" s="67">
        <f t="shared" ca="1" si="0"/>
        <v>6274.4180999999999</v>
      </c>
    </row>
    <row r="38" spans="1:7" x14ac:dyDescent="0.25">
      <c r="A38" t="s">
        <v>276</v>
      </c>
      <c r="B38" s="125">
        <f t="shared" ref="B38:G38" ca="1" si="4">SUM(B30:B37)</f>
        <v>62744.180999999997</v>
      </c>
      <c r="C38" s="125">
        <f t="shared" si="4"/>
        <v>15851.000000000002</v>
      </c>
      <c r="D38" s="125">
        <f t="shared" si="4"/>
        <v>0</v>
      </c>
      <c r="E38" s="125">
        <f t="shared" si="4"/>
        <v>0</v>
      </c>
      <c r="F38" s="125">
        <f t="shared" si="4"/>
        <v>0</v>
      </c>
      <c r="G38" s="125">
        <f t="shared" ca="1" si="4"/>
        <v>78595.180999999982</v>
      </c>
    </row>
  </sheetData>
  <sheetProtection algorithmName="SHA-512" hashValue="UDMb4p6sPsw+RF09oxykeRlsHs4cHgzwLOgTACA7HWankTZVd6eoqzvM2YVxutMWq0Y+vmgHR/bTo6L7K9Pg8Q==" saltValue="tonfeN6BkeGuER1+ahCjow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workbookViewId="0">
      <selection activeCell="C7" sqref="C7"/>
    </sheetView>
  </sheetViews>
  <sheetFormatPr baseColWidth="10" defaultRowHeight="13.8" x14ac:dyDescent="0.25"/>
  <cols>
    <col min="1" max="1" width="14.8984375" customWidth="1"/>
    <col min="2" max="2" width="8.3984375" customWidth="1"/>
    <col min="3" max="12" width="12.09765625" customWidth="1"/>
    <col min="13" max="1024" width="7.8984375" customWidth="1"/>
  </cols>
  <sheetData>
    <row r="1" spans="1:12" s="143" customFormat="1" ht="22.8" x14ac:dyDescent="0.4">
      <c r="A1" s="143" t="s">
        <v>277</v>
      </c>
      <c r="I1" s="144"/>
      <c r="J1" s="144"/>
      <c r="K1" s="144" t="s">
        <v>10</v>
      </c>
    </row>
    <row r="2" spans="1:12" ht="15" hidden="1" x14ac:dyDescent="0.25">
      <c r="A2" s="170"/>
      <c r="B2" s="170"/>
    </row>
    <row r="3" spans="1:12" ht="15" hidden="1" x14ac:dyDescent="0.25">
      <c r="A3" s="170"/>
      <c r="B3" s="170"/>
    </row>
    <row r="4" spans="1:12" ht="17.399999999999999" x14ac:dyDescent="0.3">
      <c r="A4" s="171" t="s">
        <v>278</v>
      </c>
      <c r="B4" s="171"/>
      <c r="C4" s="171"/>
      <c r="D4" t="s">
        <v>279</v>
      </c>
      <c r="G4" t="s">
        <v>280</v>
      </c>
      <c r="H4" s="172">
        <v>450</v>
      </c>
      <c r="I4" s="173"/>
      <c r="J4" s="173"/>
      <c r="K4" s="173"/>
    </row>
    <row r="5" spans="1:12" x14ac:dyDescent="0.25">
      <c r="F5" t="s">
        <v>281</v>
      </c>
      <c r="H5" s="174">
        <v>0.30740000000000001</v>
      </c>
      <c r="I5" s="175"/>
      <c r="J5" s="175"/>
      <c r="K5" s="175"/>
    </row>
    <row r="6" spans="1:12" x14ac:dyDescent="0.25">
      <c r="C6" t="str">
        <f t="shared" ref="C6:K6" si="0">IF(AND(C$13=0,C$14=0),"Leer","Arbeitnehmer:")</f>
        <v>Arbeitnehmer:</v>
      </c>
      <c r="D6" t="str">
        <f t="shared" si="0"/>
        <v>Arbeitnehmer:</v>
      </c>
      <c r="E6" t="str">
        <f t="shared" si="0"/>
        <v>Arbeitnehmer:</v>
      </c>
      <c r="F6" t="str">
        <f t="shared" si="0"/>
        <v>Arbeitnehmer:</v>
      </c>
      <c r="G6" t="str">
        <f t="shared" si="0"/>
        <v>Arbeitnehmer:</v>
      </c>
      <c r="H6" t="str">
        <f t="shared" si="0"/>
        <v>Arbeitnehmer:</v>
      </c>
      <c r="I6" t="str">
        <f t="shared" si="0"/>
        <v>Arbeitnehmer:</v>
      </c>
      <c r="J6" t="str">
        <f t="shared" si="0"/>
        <v>Arbeitnehmer:</v>
      </c>
      <c r="K6" t="str">
        <f t="shared" si="0"/>
        <v>Leer</v>
      </c>
      <c r="L6" s="176" t="s">
        <v>282</v>
      </c>
    </row>
    <row r="7" spans="1:12" x14ac:dyDescent="0.25">
      <c r="A7" t="s">
        <v>254</v>
      </c>
      <c r="C7" s="9" t="s">
        <v>283</v>
      </c>
      <c r="D7" s="9" t="s">
        <v>284</v>
      </c>
      <c r="E7" s="9" t="s">
        <v>285</v>
      </c>
      <c r="F7" s="9" t="s">
        <v>286</v>
      </c>
      <c r="G7" s="9" t="s">
        <v>287</v>
      </c>
      <c r="H7" s="9" t="s">
        <v>288</v>
      </c>
      <c r="I7" s="9" t="s">
        <v>289</v>
      </c>
      <c r="J7" s="9" t="s">
        <v>290</v>
      </c>
      <c r="K7" s="9"/>
    </row>
    <row r="8" spans="1:12" x14ac:dyDescent="0.25">
      <c r="A8" t="s">
        <v>291</v>
      </c>
      <c r="C8" s="150" t="s">
        <v>292</v>
      </c>
      <c r="D8" s="150" t="s">
        <v>293</v>
      </c>
      <c r="E8" s="150" t="s">
        <v>294</v>
      </c>
      <c r="F8" s="150" t="s">
        <v>295</v>
      </c>
      <c r="G8" s="150" t="s">
        <v>296</v>
      </c>
      <c r="H8" s="150" t="s">
        <v>297</v>
      </c>
      <c r="I8" s="150" t="s">
        <v>298</v>
      </c>
      <c r="J8" s="150" t="s">
        <v>298</v>
      </c>
      <c r="K8" s="150"/>
    </row>
    <row r="9" spans="1:12" s="177" customFormat="1" ht="13.2" x14ac:dyDescent="0.25">
      <c r="A9" s="177" t="s">
        <v>257</v>
      </c>
      <c r="C9" s="178">
        <v>43</v>
      </c>
      <c r="D9" s="178">
        <v>20</v>
      </c>
      <c r="E9" s="178">
        <v>55</v>
      </c>
      <c r="F9" s="178">
        <v>17</v>
      </c>
      <c r="G9" s="178">
        <v>17</v>
      </c>
      <c r="H9" s="178">
        <v>30</v>
      </c>
      <c r="I9" s="178">
        <v>37</v>
      </c>
      <c r="J9" s="178">
        <v>38</v>
      </c>
      <c r="K9" s="178"/>
    </row>
    <row r="10" spans="1:12" s="177" customFormat="1" ht="13.2" x14ac:dyDescent="0.25">
      <c r="C10" s="179">
        <f t="shared" ref="C10:K10" si="1">IF(C6="Leer",0,IF(AND(C9&gt;=18,C9&lt;=65),1,0.5))</f>
        <v>1</v>
      </c>
      <c r="D10" s="179">
        <f t="shared" si="1"/>
        <v>1</v>
      </c>
      <c r="E10" s="179">
        <f t="shared" si="1"/>
        <v>1</v>
      </c>
      <c r="F10" s="179">
        <f t="shared" si="1"/>
        <v>0.5</v>
      </c>
      <c r="G10" s="179">
        <f t="shared" si="1"/>
        <v>0.5</v>
      </c>
      <c r="H10" s="179">
        <f t="shared" si="1"/>
        <v>1</v>
      </c>
      <c r="I10" s="179">
        <f t="shared" si="1"/>
        <v>1</v>
      </c>
      <c r="J10" s="179">
        <f t="shared" si="1"/>
        <v>1</v>
      </c>
      <c r="K10" s="179">
        <f t="shared" si="1"/>
        <v>0</v>
      </c>
    </row>
    <row r="11" spans="1:12" s="177" customFormat="1" ht="13.2" x14ac:dyDescent="0.25">
      <c r="A11" s="177" t="s">
        <v>299</v>
      </c>
      <c r="C11" s="180">
        <f t="shared" ref="C11:K11" si="2">IF(C16&lt;12,C10*C16/12,IF(C46&lt;$E$45,C10*C46/$E$45,C10))</f>
        <v>1</v>
      </c>
      <c r="D11" s="180">
        <f t="shared" si="2"/>
        <v>1</v>
      </c>
      <c r="E11" s="180">
        <f t="shared" si="2"/>
        <v>1</v>
      </c>
      <c r="F11" s="180">
        <f t="shared" si="2"/>
        <v>0.5</v>
      </c>
      <c r="G11" s="180">
        <f t="shared" si="2"/>
        <v>0.5</v>
      </c>
      <c r="H11" s="180">
        <f t="shared" si="2"/>
        <v>0.25641025641025639</v>
      </c>
      <c r="I11" s="180">
        <f t="shared" si="2"/>
        <v>0.25</v>
      </c>
      <c r="J11" s="180">
        <f t="shared" si="2"/>
        <v>0.25</v>
      </c>
      <c r="K11" s="180">
        <f t="shared" si="2"/>
        <v>0</v>
      </c>
      <c r="L11" s="155">
        <f>SUM(C11:K11)</f>
        <v>4.7564102564102564</v>
      </c>
    </row>
    <row r="12" spans="1:12" s="177" customFormat="1" ht="13.2" x14ac:dyDescent="0.25">
      <c r="A12" s="177" t="s">
        <v>300</v>
      </c>
      <c r="C12" s="180">
        <f t="shared" ref="C12:K12" si="3">IF(C16=12,C11,0)</f>
        <v>1</v>
      </c>
      <c r="D12" s="180">
        <f t="shared" si="3"/>
        <v>1</v>
      </c>
      <c r="E12" s="180">
        <f t="shared" si="3"/>
        <v>1</v>
      </c>
      <c r="F12" s="180">
        <f t="shared" si="3"/>
        <v>0.5</v>
      </c>
      <c r="G12" s="180">
        <f t="shared" si="3"/>
        <v>0.5</v>
      </c>
      <c r="H12" s="180">
        <f t="shared" si="3"/>
        <v>0.25641025641025639</v>
      </c>
      <c r="I12" s="180">
        <f t="shared" si="3"/>
        <v>0</v>
      </c>
      <c r="J12" s="180">
        <f t="shared" si="3"/>
        <v>0</v>
      </c>
      <c r="K12" s="180">
        <f t="shared" si="3"/>
        <v>0</v>
      </c>
      <c r="L12" s="155">
        <f>SUM(C12:K12)</f>
        <v>4.2564102564102564</v>
      </c>
    </row>
    <row r="13" spans="1:12" x14ac:dyDescent="0.25">
      <c r="A13" t="s">
        <v>301</v>
      </c>
      <c r="C13" s="85">
        <v>13.06</v>
      </c>
      <c r="D13" s="85">
        <v>12.32</v>
      </c>
      <c r="E13" s="85">
        <v>10.33</v>
      </c>
      <c r="F13" s="85"/>
      <c r="G13" s="85"/>
      <c r="H13" s="85"/>
      <c r="I13" s="85">
        <v>6.5</v>
      </c>
      <c r="J13" s="85">
        <v>6.5</v>
      </c>
      <c r="K13" s="85"/>
    </row>
    <row r="14" spans="1:12" x14ac:dyDescent="0.25">
      <c r="A14" t="s">
        <v>302</v>
      </c>
      <c r="C14" s="85"/>
      <c r="D14" s="85"/>
      <c r="E14" s="85"/>
      <c r="F14" s="85">
        <v>630</v>
      </c>
      <c r="G14" s="85">
        <v>700</v>
      </c>
      <c r="H14" s="85">
        <v>450</v>
      </c>
      <c r="I14" s="85"/>
      <c r="J14" s="85"/>
      <c r="K14" s="85"/>
    </row>
    <row r="15" spans="1:12" x14ac:dyDescent="0.25">
      <c r="A15" t="s">
        <v>303</v>
      </c>
      <c r="C15" s="181">
        <v>6</v>
      </c>
      <c r="D15" s="181">
        <v>6</v>
      </c>
      <c r="E15" s="181">
        <v>5</v>
      </c>
      <c r="F15" s="181">
        <v>5</v>
      </c>
      <c r="G15" s="181">
        <v>5</v>
      </c>
      <c r="H15" s="181">
        <v>5</v>
      </c>
      <c r="I15" s="181">
        <v>5</v>
      </c>
      <c r="J15" s="181">
        <v>5</v>
      </c>
      <c r="K15" s="181"/>
    </row>
    <row r="16" spans="1:12" x14ac:dyDescent="0.25">
      <c r="A16" s="42" t="s">
        <v>304</v>
      </c>
      <c r="C16" s="182">
        <v>12</v>
      </c>
      <c r="D16" s="182">
        <v>12</v>
      </c>
      <c r="E16" s="182">
        <v>12</v>
      </c>
      <c r="F16" s="182">
        <v>12</v>
      </c>
      <c r="G16" s="182">
        <v>12</v>
      </c>
      <c r="H16" s="182">
        <v>12</v>
      </c>
      <c r="I16" s="182">
        <v>3</v>
      </c>
      <c r="J16" s="182">
        <v>3</v>
      </c>
      <c r="K16" s="182"/>
    </row>
    <row r="17" spans="1:12" x14ac:dyDescent="0.25">
      <c r="A17" t="s">
        <v>305</v>
      </c>
      <c r="C17" s="53">
        <v>0.01</v>
      </c>
      <c r="D17" s="53"/>
      <c r="E17" s="53"/>
      <c r="F17" s="53"/>
      <c r="G17" s="53"/>
      <c r="H17" s="53"/>
      <c r="I17" s="53"/>
      <c r="J17" s="53"/>
      <c r="K17" s="53"/>
    </row>
    <row r="18" spans="1:12" x14ac:dyDescent="0.25">
      <c r="A18" t="s">
        <v>306</v>
      </c>
      <c r="C18" s="53">
        <v>0.25</v>
      </c>
      <c r="D18" s="48">
        <f t="shared" ref="D18:K21" si="4">$C18</f>
        <v>0.25</v>
      </c>
      <c r="E18" s="48">
        <f t="shared" si="4"/>
        <v>0.25</v>
      </c>
      <c r="F18" s="48">
        <f t="shared" si="4"/>
        <v>0.25</v>
      </c>
      <c r="G18" s="48">
        <f t="shared" si="4"/>
        <v>0.25</v>
      </c>
      <c r="H18" s="48">
        <f t="shared" si="4"/>
        <v>0.25</v>
      </c>
      <c r="I18" s="48">
        <f t="shared" si="4"/>
        <v>0.25</v>
      </c>
      <c r="J18" s="48">
        <f t="shared" si="4"/>
        <v>0.25</v>
      </c>
      <c r="K18" s="48">
        <f t="shared" si="4"/>
        <v>0.25</v>
      </c>
    </row>
    <row r="19" spans="1:12" x14ac:dyDescent="0.25">
      <c r="A19" t="s">
        <v>307</v>
      </c>
      <c r="C19" s="53">
        <v>0.5</v>
      </c>
      <c r="D19" s="48">
        <f t="shared" si="4"/>
        <v>0.5</v>
      </c>
      <c r="E19" s="48">
        <f t="shared" si="4"/>
        <v>0.5</v>
      </c>
      <c r="F19" s="48">
        <f t="shared" si="4"/>
        <v>0.5</v>
      </c>
      <c r="G19" s="48">
        <f t="shared" si="4"/>
        <v>0.5</v>
      </c>
      <c r="H19" s="48">
        <f t="shared" si="4"/>
        <v>0.5</v>
      </c>
      <c r="I19" s="48">
        <f t="shared" si="4"/>
        <v>0.5</v>
      </c>
      <c r="J19" s="48">
        <f t="shared" si="4"/>
        <v>0.5</v>
      </c>
      <c r="K19" s="48">
        <f t="shared" si="4"/>
        <v>0.5</v>
      </c>
    </row>
    <row r="20" spans="1:12" x14ac:dyDescent="0.25">
      <c r="A20" t="s">
        <v>308</v>
      </c>
      <c r="C20" s="53">
        <v>1</v>
      </c>
      <c r="D20" s="48">
        <f t="shared" si="4"/>
        <v>1</v>
      </c>
      <c r="E20" s="48">
        <f t="shared" si="4"/>
        <v>1</v>
      </c>
      <c r="F20" s="48">
        <f t="shared" si="4"/>
        <v>1</v>
      </c>
      <c r="G20" s="48">
        <f t="shared" si="4"/>
        <v>1</v>
      </c>
      <c r="H20" s="48">
        <f t="shared" si="4"/>
        <v>1</v>
      </c>
      <c r="I20" s="48">
        <f t="shared" si="4"/>
        <v>1</v>
      </c>
      <c r="J20" s="48">
        <f t="shared" si="4"/>
        <v>1</v>
      </c>
      <c r="K20" s="48">
        <f t="shared" si="4"/>
        <v>1</v>
      </c>
    </row>
    <row r="21" spans="1:12" x14ac:dyDescent="0.25">
      <c r="A21" t="s">
        <v>309</v>
      </c>
      <c r="C21" s="53">
        <v>1.5</v>
      </c>
      <c r="D21" s="48">
        <f t="shared" si="4"/>
        <v>1.5</v>
      </c>
      <c r="E21" s="48">
        <f t="shared" si="4"/>
        <v>1.5</v>
      </c>
      <c r="F21" s="48">
        <f t="shared" si="4"/>
        <v>1.5</v>
      </c>
      <c r="G21" s="48">
        <f t="shared" si="4"/>
        <v>1.5</v>
      </c>
      <c r="H21" s="48">
        <f t="shared" si="4"/>
        <v>1.5</v>
      </c>
      <c r="I21" s="48">
        <f t="shared" si="4"/>
        <v>1.5</v>
      </c>
      <c r="J21" s="48">
        <f t="shared" si="4"/>
        <v>1.5</v>
      </c>
      <c r="K21" s="48">
        <f t="shared" si="4"/>
        <v>1.5</v>
      </c>
    </row>
    <row r="22" spans="1:12" x14ac:dyDescent="0.25">
      <c r="A22" t="s">
        <v>306</v>
      </c>
      <c r="C22" s="158">
        <f t="shared" ref="C22:K22" si="5">IF(C$6="Leer",0,IF(C$13&gt;0,(C$50*C$18+C$51*C$19+C$52*C$20+C$53*C$21)*C$13,(C$50*C$18+C$51*C$19+C$52*C$20+C$53*C$21)*C$14/(C$46*52/12)))</f>
        <v>842.37</v>
      </c>
      <c r="D22" s="158">
        <f t="shared" si="5"/>
        <v>61.6</v>
      </c>
      <c r="E22" s="158">
        <f t="shared" si="5"/>
        <v>51.65</v>
      </c>
      <c r="F22" s="158">
        <f t="shared" si="5"/>
        <v>0</v>
      </c>
      <c r="G22" s="158">
        <f t="shared" si="5"/>
        <v>0</v>
      </c>
      <c r="H22" s="158">
        <f t="shared" si="5"/>
        <v>0</v>
      </c>
      <c r="I22" s="158">
        <f t="shared" si="5"/>
        <v>0</v>
      </c>
      <c r="J22" s="158">
        <f t="shared" si="5"/>
        <v>0</v>
      </c>
      <c r="K22" s="158">
        <f t="shared" si="5"/>
        <v>0</v>
      </c>
      <c r="L22" s="183">
        <f>SUM(C22:K22)</f>
        <v>955.62</v>
      </c>
    </row>
    <row r="23" spans="1:12" x14ac:dyDescent="0.25">
      <c r="A23" t="s">
        <v>310</v>
      </c>
      <c r="C23" s="53">
        <v>0.25</v>
      </c>
      <c r="D23" s="48">
        <f>C23</f>
        <v>0.25</v>
      </c>
      <c r="E23" s="48">
        <f>D23</f>
        <v>0.25</v>
      </c>
      <c r="F23" s="48">
        <f>D23</f>
        <v>0.25</v>
      </c>
      <c r="G23" s="48">
        <f>E23</f>
        <v>0.25</v>
      </c>
      <c r="H23" s="48">
        <f>E23</f>
        <v>0.25</v>
      </c>
      <c r="I23" s="48">
        <f>E23</f>
        <v>0.25</v>
      </c>
      <c r="J23" s="48">
        <f>F23</f>
        <v>0.25</v>
      </c>
      <c r="K23" s="48">
        <f>G23</f>
        <v>0.25</v>
      </c>
    </row>
    <row r="24" spans="1:12" x14ac:dyDescent="0.25">
      <c r="A24" t="s">
        <v>311</v>
      </c>
      <c r="C24" s="158">
        <f t="shared" ref="C24:K24" si="6">IF(C$6="Leer",0,IF(C$13&gt;0,C$46/C$15*(C$58*C$13*C$23),C$46/C$15*(C$58*C$14*12/C$48*C$23)))</f>
        <v>530.5625</v>
      </c>
      <c r="D24" s="158">
        <f t="shared" si="6"/>
        <v>600.6</v>
      </c>
      <c r="E24" s="158">
        <f t="shared" si="6"/>
        <v>503.58749999999998</v>
      </c>
      <c r="F24" s="158">
        <f t="shared" si="6"/>
        <v>181.73076923076923</v>
      </c>
      <c r="G24" s="158">
        <f t="shared" si="6"/>
        <v>201.92307692307691</v>
      </c>
      <c r="H24" s="158">
        <f t="shared" si="6"/>
        <v>129.80769230769232</v>
      </c>
      <c r="I24" s="158">
        <f t="shared" si="6"/>
        <v>91</v>
      </c>
      <c r="J24" s="158">
        <f t="shared" si="6"/>
        <v>91</v>
      </c>
      <c r="K24" s="158">
        <f t="shared" si="6"/>
        <v>0</v>
      </c>
      <c r="L24" s="183">
        <f>SUM(C24:K24)</f>
        <v>2330.2115384615386</v>
      </c>
    </row>
    <row r="25" spans="1:12" x14ac:dyDescent="0.25">
      <c r="A25" t="s">
        <v>312</v>
      </c>
      <c r="C25" s="85">
        <v>100</v>
      </c>
      <c r="D25" s="85">
        <v>100</v>
      </c>
      <c r="E25" s="85">
        <v>50</v>
      </c>
      <c r="F25" s="85">
        <v>50</v>
      </c>
      <c r="G25" s="85">
        <v>50</v>
      </c>
      <c r="H25" s="85"/>
      <c r="I25" s="85"/>
      <c r="J25" s="85"/>
      <c r="K25" s="85"/>
    </row>
    <row r="26" spans="1:12" x14ac:dyDescent="0.25">
      <c r="A26" t="s">
        <v>313</v>
      </c>
      <c r="C26" s="85">
        <v>7.7</v>
      </c>
      <c r="D26" s="85">
        <v>7.7</v>
      </c>
      <c r="E26" s="85"/>
      <c r="F26" s="85"/>
      <c r="G26" s="85"/>
      <c r="H26" s="85"/>
      <c r="I26" s="85"/>
      <c r="J26" s="85"/>
      <c r="K26" s="85"/>
    </row>
    <row r="27" spans="1:12" ht="39.6" x14ac:dyDescent="0.25">
      <c r="A27" s="184" t="s">
        <v>314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</row>
    <row r="28" spans="1:12" ht="27.6" x14ac:dyDescent="0.25">
      <c r="A28" s="185" t="s">
        <v>315</v>
      </c>
      <c r="B28" s="187">
        <v>9.2999999999999999E-2</v>
      </c>
      <c r="C28" s="188">
        <f t="shared" ref="C28:K28" si="7">IF(C$6="Leer",0,IF(AND(C$13*C$47&lt;=$H$4,C$14&lt;=$H$4),$H$5,$B28))</f>
        <v>9.2999999999999999E-2</v>
      </c>
      <c r="D28" s="188">
        <f t="shared" si="7"/>
        <v>9.2999999999999999E-2</v>
      </c>
      <c r="E28" s="188">
        <f t="shared" si="7"/>
        <v>9.2999999999999999E-2</v>
      </c>
      <c r="F28" s="188">
        <f t="shared" si="7"/>
        <v>9.2999999999999999E-2</v>
      </c>
      <c r="G28" s="188">
        <f t="shared" si="7"/>
        <v>9.2999999999999999E-2</v>
      </c>
      <c r="H28" s="188">
        <f t="shared" si="7"/>
        <v>0.30740000000000001</v>
      </c>
      <c r="I28" s="188">
        <f t="shared" si="7"/>
        <v>9.2999999999999999E-2</v>
      </c>
      <c r="J28" s="188">
        <f t="shared" si="7"/>
        <v>9.2999999999999999E-2</v>
      </c>
      <c r="K28" s="188">
        <f t="shared" si="7"/>
        <v>0</v>
      </c>
    </row>
    <row r="29" spans="1:12" ht="27.6" x14ac:dyDescent="0.25">
      <c r="A29" s="185" t="s">
        <v>316</v>
      </c>
      <c r="B29" s="189">
        <v>7.5999999999999998E-2</v>
      </c>
      <c r="C29" s="188">
        <f t="shared" ref="C29:K33" si="8">IF(C$6="Leer",0,IF(AND(C$13*C$47&lt;=$H$4,C$14&lt;=$H$4),0,$B29))</f>
        <v>7.5999999999999998E-2</v>
      </c>
      <c r="D29" s="188">
        <f t="shared" si="8"/>
        <v>7.5999999999999998E-2</v>
      </c>
      <c r="E29" s="188">
        <f t="shared" si="8"/>
        <v>7.5999999999999998E-2</v>
      </c>
      <c r="F29" s="188">
        <f t="shared" si="8"/>
        <v>7.5999999999999998E-2</v>
      </c>
      <c r="G29" s="188">
        <f t="shared" si="8"/>
        <v>7.5999999999999998E-2</v>
      </c>
      <c r="H29" s="188">
        <f t="shared" si="8"/>
        <v>0</v>
      </c>
      <c r="I29" s="188">
        <f t="shared" si="8"/>
        <v>7.5999999999999998E-2</v>
      </c>
      <c r="J29" s="188">
        <f t="shared" si="8"/>
        <v>7.5999999999999998E-2</v>
      </c>
      <c r="K29" s="188">
        <f t="shared" si="8"/>
        <v>0</v>
      </c>
    </row>
    <row r="30" spans="1:12" ht="27.6" x14ac:dyDescent="0.25">
      <c r="A30" s="185" t="s">
        <v>317</v>
      </c>
      <c r="B30" s="189">
        <v>1.2E-2</v>
      </c>
      <c r="C30" s="188">
        <f t="shared" si="8"/>
        <v>1.2E-2</v>
      </c>
      <c r="D30" s="188">
        <f t="shared" si="8"/>
        <v>1.2E-2</v>
      </c>
      <c r="E30" s="188">
        <f t="shared" si="8"/>
        <v>1.2E-2</v>
      </c>
      <c r="F30" s="188">
        <f t="shared" si="8"/>
        <v>1.2E-2</v>
      </c>
      <c r="G30" s="188">
        <f t="shared" si="8"/>
        <v>1.2E-2</v>
      </c>
      <c r="H30" s="188">
        <f t="shared" si="8"/>
        <v>0</v>
      </c>
      <c r="I30" s="188">
        <f t="shared" si="8"/>
        <v>1.2E-2</v>
      </c>
      <c r="J30" s="188">
        <f t="shared" si="8"/>
        <v>1.2E-2</v>
      </c>
      <c r="K30" s="188">
        <f t="shared" si="8"/>
        <v>0</v>
      </c>
    </row>
    <row r="31" spans="1:12" ht="27.6" x14ac:dyDescent="0.25">
      <c r="A31" s="185" t="s">
        <v>318</v>
      </c>
      <c r="B31" s="189">
        <v>1.525E-2</v>
      </c>
      <c r="C31" s="188">
        <f t="shared" si="8"/>
        <v>1.525E-2</v>
      </c>
      <c r="D31" s="188">
        <f t="shared" si="8"/>
        <v>1.525E-2</v>
      </c>
      <c r="E31" s="188">
        <f t="shared" si="8"/>
        <v>1.525E-2</v>
      </c>
      <c r="F31" s="188">
        <f t="shared" si="8"/>
        <v>1.525E-2</v>
      </c>
      <c r="G31" s="188">
        <f t="shared" si="8"/>
        <v>1.525E-2</v>
      </c>
      <c r="H31" s="188">
        <f t="shared" si="8"/>
        <v>0</v>
      </c>
      <c r="I31" s="188">
        <f t="shared" si="8"/>
        <v>1.525E-2</v>
      </c>
      <c r="J31" s="188">
        <f t="shared" si="8"/>
        <v>1.525E-2</v>
      </c>
      <c r="K31" s="188">
        <f t="shared" si="8"/>
        <v>0</v>
      </c>
    </row>
    <row r="32" spans="1:12" ht="27.6" x14ac:dyDescent="0.25">
      <c r="A32" s="185" t="s">
        <v>319</v>
      </c>
      <c r="B32" s="189">
        <v>3.5000000000000003E-2</v>
      </c>
      <c r="C32" s="188">
        <f t="shared" si="8"/>
        <v>3.5000000000000003E-2</v>
      </c>
      <c r="D32" s="188">
        <f t="shared" si="8"/>
        <v>3.5000000000000003E-2</v>
      </c>
      <c r="E32" s="188">
        <f t="shared" si="8"/>
        <v>3.5000000000000003E-2</v>
      </c>
      <c r="F32" s="188">
        <f t="shared" si="8"/>
        <v>3.5000000000000003E-2</v>
      </c>
      <c r="G32" s="188">
        <f t="shared" si="8"/>
        <v>3.5000000000000003E-2</v>
      </c>
      <c r="H32" s="188">
        <f t="shared" si="8"/>
        <v>0</v>
      </c>
      <c r="I32" s="188">
        <f t="shared" si="8"/>
        <v>3.5000000000000003E-2</v>
      </c>
      <c r="J32" s="188">
        <f t="shared" si="8"/>
        <v>3.5000000000000003E-2</v>
      </c>
      <c r="K32" s="188">
        <f t="shared" si="8"/>
        <v>0</v>
      </c>
    </row>
    <row r="33" spans="1:22" ht="27.6" x14ac:dyDescent="0.25">
      <c r="A33" s="185" t="s">
        <v>320</v>
      </c>
      <c r="B33" s="190">
        <v>5.0000000000000001E-3</v>
      </c>
      <c r="C33" s="188">
        <f t="shared" si="8"/>
        <v>5.0000000000000001E-3</v>
      </c>
      <c r="D33" s="188">
        <f t="shared" si="8"/>
        <v>5.0000000000000001E-3</v>
      </c>
      <c r="E33" s="188">
        <f t="shared" si="8"/>
        <v>5.0000000000000001E-3</v>
      </c>
      <c r="F33" s="188">
        <f t="shared" si="8"/>
        <v>5.0000000000000001E-3</v>
      </c>
      <c r="G33" s="188">
        <f t="shared" si="8"/>
        <v>5.0000000000000001E-3</v>
      </c>
      <c r="H33" s="188">
        <f t="shared" si="8"/>
        <v>0</v>
      </c>
      <c r="I33" s="188">
        <f t="shared" si="8"/>
        <v>5.0000000000000001E-3</v>
      </c>
      <c r="J33" s="188">
        <f t="shared" si="8"/>
        <v>5.0000000000000001E-3</v>
      </c>
      <c r="K33" s="188">
        <f t="shared" si="8"/>
        <v>0</v>
      </c>
    </row>
    <row r="34" spans="1:22" x14ac:dyDescent="0.25">
      <c r="A34" s="148" t="s">
        <v>321</v>
      </c>
      <c r="B34" s="191"/>
      <c r="C34" s="192">
        <f t="shared" ref="C34:K34" si="9">IF(C28=$H$5,$H$5,C$28+C$29+C$30+C$31+C$32+C$33)</f>
        <v>0.23624999999999999</v>
      </c>
      <c r="D34" s="192">
        <f t="shared" si="9"/>
        <v>0.23624999999999999</v>
      </c>
      <c r="E34" s="192">
        <f t="shared" si="9"/>
        <v>0.23624999999999999</v>
      </c>
      <c r="F34" s="192">
        <f t="shared" si="9"/>
        <v>0.23624999999999999</v>
      </c>
      <c r="G34" s="192">
        <f t="shared" si="9"/>
        <v>0.23624999999999999</v>
      </c>
      <c r="H34" s="192">
        <f t="shared" si="9"/>
        <v>0.30740000000000001</v>
      </c>
      <c r="I34" s="192">
        <f t="shared" si="9"/>
        <v>0.23624999999999999</v>
      </c>
      <c r="J34" s="192">
        <f t="shared" si="9"/>
        <v>0.23624999999999999</v>
      </c>
      <c r="K34" s="192">
        <f t="shared" si="9"/>
        <v>0</v>
      </c>
    </row>
    <row r="35" spans="1:22" x14ac:dyDescent="0.25">
      <c r="A35" t="s">
        <v>322</v>
      </c>
      <c r="C35" s="193">
        <v>0</v>
      </c>
      <c r="D35" s="193"/>
      <c r="E35" s="193"/>
      <c r="F35" s="193"/>
      <c r="G35" s="193"/>
      <c r="H35" s="193"/>
      <c r="I35" s="193"/>
      <c r="J35" s="193"/>
      <c r="K35" s="193"/>
    </row>
    <row r="36" spans="1:22" x14ac:dyDescent="0.25">
      <c r="A36" t="s">
        <v>323</v>
      </c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22" x14ac:dyDescent="0.25">
      <c r="A37" t="s">
        <v>324</v>
      </c>
      <c r="B37" s="85">
        <v>1600</v>
      </c>
      <c r="C37" s="158">
        <f>$B$37/($L$55+Lohnansatz!$G$12)*C$62</f>
        <v>194.24479512001059</v>
      </c>
      <c r="D37" s="158">
        <f>$B$37/($L$55+Lohnansatz!$G$12)*D$62</f>
        <v>180.7187375679618</v>
      </c>
      <c r="E37" s="158">
        <f>$B$37/($L$55+Lohnansatz!$G$12)*E$62</f>
        <v>184.1665561596605</v>
      </c>
      <c r="F37" s="158">
        <f>$B$37/($L$55+Lohnansatz!$G$12)*F$62</f>
        <v>91.849887282853729</v>
      </c>
      <c r="G37" s="158">
        <f>$B$37/($L$55+Lohnansatz!$G$12)*G$62</f>
        <v>126.60389868717677</v>
      </c>
      <c r="H37" s="158">
        <f>$B$37/($L$55+Lohnansatz!$G$12)*H$62</f>
        <v>44.556424877337221</v>
      </c>
      <c r="I37" s="158">
        <f>$B$37/($L$55+Lohnansatz!$G$12)*I$62</f>
        <v>40.737302744994032</v>
      </c>
      <c r="J37" s="158">
        <f>$B$37/($L$55+Lohnansatz!$G$12)*J$62</f>
        <v>40.737302744994032</v>
      </c>
      <c r="K37" s="158">
        <f>$B$37/($L$55+Lohnansatz!$G$12)*K$62</f>
        <v>0</v>
      </c>
      <c r="L37" s="183">
        <f>SUM(C37:K37)</f>
        <v>903.61490518498863</v>
      </c>
    </row>
    <row r="38" spans="1:22" x14ac:dyDescent="0.25">
      <c r="A38" t="s">
        <v>325</v>
      </c>
      <c r="B38" s="85"/>
      <c r="C38" s="158">
        <f t="shared" ref="C38:K38" si="10">$B$38/$L$55*C$62</f>
        <v>0</v>
      </c>
      <c r="D38" s="158">
        <f t="shared" si="10"/>
        <v>0</v>
      </c>
      <c r="E38" s="158">
        <f t="shared" si="10"/>
        <v>0</v>
      </c>
      <c r="F38" s="158">
        <f t="shared" si="10"/>
        <v>0</v>
      </c>
      <c r="G38" s="158">
        <f t="shared" si="10"/>
        <v>0</v>
      </c>
      <c r="H38" s="158">
        <f t="shared" si="10"/>
        <v>0</v>
      </c>
      <c r="I38" s="158">
        <f t="shared" si="10"/>
        <v>0</v>
      </c>
      <c r="J38" s="158">
        <f t="shared" si="10"/>
        <v>0</v>
      </c>
      <c r="K38" s="158">
        <f t="shared" si="10"/>
        <v>0</v>
      </c>
      <c r="L38" s="194">
        <f>SUM(C38:K38)</f>
        <v>0</v>
      </c>
    </row>
    <row r="40" spans="1:22" x14ac:dyDescent="0.25">
      <c r="A40" s="195" t="s">
        <v>326</v>
      </c>
      <c r="B40" s="196"/>
      <c r="C40" s="158">
        <f t="shared" ref="C40:K40" si="11">IF(C$6="Leer",0,IF(C$13=0,C$14/C$47*C$55+(C$14/C$47*C$55*C$17)+(C$22+C$24+C$25+C$26*12+C$37+C$38)+(C$14/C$47*C$55+(C$14/C$47*C$55*C$17)+C$22+C$24+C$25+C$26)*C$34+C$35,C$13*C$55+(C$13*C$55*C$17)+C$22+C$24+C$25+C$26*12+C$37+C$38+(C$13*C$55+(C$13*C$55*C$17)+C$22+C$24+C$25+C$26)*C$34+C$35))</f>
        <v>36843.029525745013</v>
      </c>
      <c r="D40" s="158">
        <f t="shared" si="11"/>
        <v>32409.476412567958</v>
      </c>
      <c r="E40" s="158">
        <f t="shared" si="11"/>
        <v>27086.298615534663</v>
      </c>
      <c r="F40" s="158">
        <f t="shared" si="11"/>
        <v>9724.3770507443915</v>
      </c>
      <c r="G40" s="158">
        <f t="shared" si="11"/>
        <v>10822.54380253333</v>
      </c>
      <c r="H40" s="158">
        <f t="shared" si="11"/>
        <v>7274.2270018004128</v>
      </c>
      <c r="I40" s="158">
        <f t="shared" si="11"/>
        <v>4331.7610527449942</v>
      </c>
      <c r="J40" s="158">
        <f t="shared" si="11"/>
        <v>4331.7610527449942</v>
      </c>
      <c r="K40" s="158">
        <f t="shared" si="11"/>
        <v>0</v>
      </c>
      <c r="L40" s="197">
        <f>SUM(C40:K40)</f>
        <v>132823.47451441572</v>
      </c>
    </row>
    <row r="41" spans="1:22" s="11" customFormat="1" x14ac:dyDescent="0.25">
      <c r="A41" s="11" t="s">
        <v>327</v>
      </c>
      <c r="C41" s="198">
        <f t="shared" ref="C41:K41" si="12">IF(C$6="Leer",0,C$40/C$62)</f>
        <v>20.121807496310765</v>
      </c>
      <c r="D41" s="198">
        <f t="shared" si="12"/>
        <v>19.025228302065134</v>
      </c>
      <c r="E41" s="198">
        <f t="shared" si="12"/>
        <v>15.602706575768815</v>
      </c>
      <c r="F41" s="198">
        <f t="shared" si="12"/>
        <v>11.231666725276497</v>
      </c>
      <c r="G41" s="198">
        <f t="shared" si="12"/>
        <v>9.0686641549634057</v>
      </c>
      <c r="H41" s="198">
        <f t="shared" si="12"/>
        <v>17.319588099524793</v>
      </c>
      <c r="I41" s="198">
        <f t="shared" si="12"/>
        <v>11.280627741523423</v>
      </c>
      <c r="J41" s="198">
        <f t="shared" si="12"/>
        <v>11.280627741523423</v>
      </c>
      <c r="K41" s="198">
        <f t="shared" si="12"/>
        <v>0</v>
      </c>
    </row>
    <row r="42" spans="1:22" x14ac:dyDescent="0.25">
      <c r="A42" t="s">
        <v>328</v>
      </c>
      <c r="C42" s="199">
        <f t="shared" ref="C42:K42" si="13">IF(C$6="Leer",0,C$40/C$62*(1+1-C70))</f>
        <v>21.127897871126304</v>
      </c>
      <c r="D42" s="199">
        <f t="shared" si="13"/>
        <v>20.927751132271649</v>
      </c>
      <c r="E42" s="199">
        <f t="shared" si="13"/>
        <v>17.1629772333457</v>
      </c>
      <c r="F42" s="199">
        <f t="shared" si="13"/>
        <v>13.478000070331797</v>
      </c>
      <c r="G42" s="199">
        <f t="shared" si="13"/>
        <v>9.9755305704597479</v>
      </c>
      <c r="H42" s="199">
        <f t="shared" si="13"/>
        <v>19.051546909477274</v>
      </c>
      <c r="I42" s="199">
        <f t="shared" si="13"/>
        <v>11.844659128599595</v>
      </c>
      <c r="J42" s="199">
        <f t="shared" si="13"/>
        <v>11.844659128599595</v>
      </c>
      <c r="K42" s="199">
        <f t="shared" si="13"/>
        <v>0</v>
      </c>
    </row>
    <row r="43" spans="1:22" x14ac:dyDescent="0.25">
      <c r="A43" t="s">
        <v>329</v>
      </c>
      <c r="C43" s="158">
        <f t="shared" ref="C43:K43" si="14">IF(C$6="Leer",0,C$40/C$16)</f>
        <v>3070.2524604787509</v>
      </c>
      <c r="D43" s="158">
        <f t="shared" si="14"/>
        <v>2700.7897010473298</v>
      </c>
      <c r="E43" s="158">
        <f t="shared" si="14"/>
        <v>2257.1915512945552</v>
      </c>
      <c r="F43" s="158">
        <f t="shared" si="14"/>
        <v>810.36475422869933</v>
      </c>
      <c r="G43" s="158">
        <f t="shared" si="14"/>
        <v>901.87865021111077</v>
      </c>
      <c r="H43" s="158">
        <f t="shared" si="14"/>
        <v>606.18558348336774</v>
      </c>
      <c r="I43" s="158">
        <f t="shared" si="14"/>
        <v>1443.9203509149982</v>
      </c>
      <c r="J43" s="158">
        <f t="shared" si="14"/>
        <v>1443.9203509149982</v>
      </c>
      <c r="K43" s="158">
        <f t="shared" si="14"/>
        <v>0</v>
      </c>
      <c r="L43" s="159">
        <f>SUM(C43:K43)</f>
        <v>13234.503402573808</v>
      </c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5" spans="1:22" x14ac:dyDescent="0.25">
      <c r="A45" t="s">
        <v>330</v>
      </c>
      <c r="C45" t="s">
        <v>331</v>
      </c>
      <c r="E45" s="200">
        <v>39</v>
      </c>
    </row>
    <row r="46" spans="1:22" x14ac:dyDescent="0.25">
      <c r="A46" t="s">
        <v>332</v>
      </c>
      <c r="C46" s="200">
        <v>39</v>
      </c>
      <c r="D46" s="200">
        <v>39</v>
      </c>
      <c r="E46" s="200">
        <v>39</v>
      </c>
      <c r="F46" s="200">
        <v>39</v>
      </c>
      <c r="G46" s="200">
        <v>39</v>
      </c>
      <c r="H46" s="200">
        <v>10</v>
      </c>
      <c r="I46" s="200">
        <v>40</v>
      </c>
      <c r="J46" s="200">
        <v>40</v>
      </c>
      <c r="K46" s="200"/>
    </row>
    <row r="47" spans="1:22" x14ac:dyDescent="0.25">
      <c r="A47" t="s">
        <v>333</v>
      </c>
      <c r="C47" s="201">
        <f t="shared" ref="C47:K47" si="15">C$46*52/12</f>
        <v>169</v>
      </c>
      <c r="D47" s="201">
        <f t="shared" si="15"/>
        <v>169</v>
      </c>
      <c r="E47" s="201">
        <f t="shared" si="15"/>
        <v>169</v>
      </c>
      <c r="F47" s="201">
        <f t="shared" si="15"/>
        <v>169</v>
      </c>
      <c r="G47" s="201">
        <f t="shared" si="15"/>
        <v>169</v>
      </c>
      <c r="H47" s="201">
        <f t="shared" si="15"/>
        <v>43.333333333333336</v>
      </c>
      <c r="I47" s="201">
        <f t="shared" si="15"/>
        <v>173.33333333333334</v>
      </c>
      <c r="J47" s="201">
        <f t="shared" si="15"/>
        <v>173.33333333333334</v>
      </c>
      <c r="K47" s="201">
        <f t="shared" si="15"/>
        <v>0</v>
      </c>
    </row>
    <row r="48" spans="1:22" x14ac:dyDescent="0.25">
      <c r="A48" t="s">
        <v>334</v>
      </c>
      <c r="C48" s="202">
        <f t="shared" ref="C48:K48" si="16">C$47*12*C$16/12</f>
        <v>2028</v>
      </c>
      <c r="D48" s="202">
        <f t="shared" si="16"/>
        <v>2028</v>
      </c>
      <c r="E48" s="202">
        <f t="shared" si="16"/>
        <v>2028</v>
      </c>
      <c r="F48" s="202">
        <f t="shared" si="16"/>
        <v>2028</v>
      </c>
      <c r="G48" s="202">
        <f t="shared" si="16"/>
        <v>2028</v>
      </c>
      <c r="H48" s="202">
        <f t="shared" si="16"/>
        <v>520</v>
      </c>
      <c r="I48" s="202">
        <f t="shared" si="16"/>
        <v>520</v>
      </c>
      <c r="J48" s="202">
        <f t="shared" si="16"/>
        <v>520</v>
      </c>
      <c r="K48" s="202">
        <f t="shared" si="16"/>
        <v>0</v>
      </c>
    </row>
    <row r="49" spans="1:12" x14ac:dyDescent="0.25">
      <c r="A49" t="s">
        <v>335</v>
      </c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2" x14ac:dyDescent="0.25">
      <c r="A50" t="s">
        <v>336</v>
      </c>
      <c r="C50" s="203">
        <v>50</v>
      </c>
      <c r="D50" s="203">
        <v>20</v>
      </c>
      <c r="E50" s="203">
        <v>20</v>
      </c>
      <c r="F50" s="203"/>
      <c r="G50" s="203"/>
      <c r="H50" s="203"/>
      <c r="I50" s="203"/>
      <c r="J50" s="203"/>
      <c r="K50" s="203"/>
    </row>
    <row r="51" spans="1:12" x14ac:dyDescent="0.25">
      <c r="A51" t="s">
        <v>337</v>
      </c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2" x14ac:dyDescent="0.25">
      <c r="A52" t="s">
        <v>338</v>
      </c>
      <c r="C52" s="203">
        <v>52</v>
      </c>
      <c r="D52" s="203"/>
      <c r="E52" s="203"/>
      <c r="F52" s="203"/>
      <c r="G52" s="203"/>
      <c r="H52" s="203"/>
      <c r="I52" s="203"/>
      <c r="J52" s="203"/>
      <c r="K52" s="203"/>
    </row>
    <row r="53" spans="1:12" x14ac:dyDescent="0.25">
      <c r="A53" t="s">
        <v>339</v>
      </c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2" x14ac:dyDescent="0.25">
      <c r="A54" t="s">
        <v>340</v>
      </c>
      <c r="C54" s="202">
        <f t="shared" ref="C54:K54" si="17">C$50+C$51+C$52+C$53</f>
        <v>102</v>
      </c>
      <c r="D54" s="202">
        <f t="shared" si="17"/>
        <v>20</v>
      </c>
      <c r="E54" s="202">
        <f t="shared" si="17"/>
        <v>20</v>
      </c>
      <c r="F54" s="202">
        <f t="shared" si="17"/>
        <v>0</v>
      </c>
      <c r="G54" s="202">
        <f t="shared" si="17"/>
        <v>0</v>
      </c>
      <c r="H54" s="202">
        <f t="shared" si="17"/>
        <v>0</v>
      </c>
      <c r="I54" s="202">
        <f t="shared" si="17"/>
        <v>0</v>
      </c>
      <c r="J54" s="202">
        <f t="shared" si="17"/>
        <v>0</v>
      </c>
      <c r="K54" s="202">
        <f t="shared" si="17"/>
        <v>0</v>
      </c>
    </row>
    <row r="55" spans="1:12" ht="39.6" x14ac:dyDescent="0.25">
      <c r="A55" s="204" t="s">
        <v>341</v>
      </c>
      <c r="B55" s="204"/>
      <c r="C55" s="202">
        <f t="shared" ref="C55:K55" si="18">IF(C6="Leer",0,C$48+C$54-C$59*C$46/C$15)</f>
        <v>2130</v>
      </c>
      <c r="D55" s="202">
        <f t="shared" si="18"/>
        <v>2048</v>
      </c>
      <c r="E55" s="202">
        <f t="shared" si="18"/>
        <v>2048</v>
      </c>
      <c r="F55" s="202">
        <f t="shared" si="18"/>
        <v>2028</v>
      </c>
      <c r="G55" s="202">
        <f t="shared" si="18"/>
        <v>2028</v>
      </c>
      <c r="H55" s="202">
        <f t="shared" si="18"/>
        <v>520</v>
      </c>
      <c r="I55" s="202">
        <f t="shared" si="18"/>
        <v>520</v>
      </c>
      <c r="J55" s="202">
        <f t="shared" si="18"/>
        <v>520</v>
      </c>
      <c r="K55" s="202">
        <f t="shared" si="18"/>
        <v>0</v>
      </c>
      <c r="L55" s="205">
        <f>SUM(C55:K55)</f>
        <v>11842</v>
      </c>
    </row>
    <row r="56" spans="1:12" x14ac:dyDescent="0.25">
      <c r="A56" t="s">
        <v>342</v>
      </c>
      <c r="C56" s="161">
        <v>10</v>
      </c>
      <c r="D56" s="206">
        <f t="shared" ref="D56:K56" si="19">$C56</f>
        <v>10</v>
      </c>
      <c r="E56" s="206">
        <f t="shared" si="19"/>
        <v>10</v>
      </c>
      <c r="F56" s="206">
        <f t="shared" si="19"/>
        <v>10</v>
      </c>
      <c r="G56" s="206">
        <f t="shared" si="19"/>
        <v>10</v>
      </c>
      <c r="H56" s="206">
        <f t="shared" si="19"/>
        <v>10</v>
      </c>
      <c r="I56" s="206">
        <f t="shared" si="19"/>
        <v>10</v>
      </c>
      <c r="J56" s="206">
        <f t="shared" si="19"/>
        <v>10</v>
      </c>
      <c r="K56" s="206">
        <f t="shared" si="19"/>
        <v>10</v>
      </c>
    </row>
    <row r="57" spans="1:12" x14ac:dyDescent="0.25">
      <c r="A57" t="s">
        <v>343</v>
      </c>
      <c r="C57" s="161">
        <v>25</v>
      </c>
      <c r="D57" s="161">
        <v>30</v>
      </c>
      <c r="E57" s="161">
        <v>25</v>
      </c>
      <c r="F57" s="161">
        <v>25</v>
      </c>
      <c r="G57" s="161">
        <v>25</v>
      </c>
      <c r="H57" s="161">
        <v>25</v>
      </c>
      <c r="I57" s="161">
        <v>25</v>
      </c>
      <c r="J57" s="161">
        <v>25</v>
      </c>
      <c r="K57" s="161"/>
    </row>
    <row r="58" spans="1:12" x14ac:dyDescent="0.25">
      <c r="A58" t="s">
        <v>344</v>
      </c>
      <c r="C58" s="207">
        <f>ROUNDUP(C$16*(C$57/12),0)</f>
        <v>25</v>
      </c>
      <c r="D58" s="207">
        <f>ROUNDUP(D$16*(D$57/12),0)</f>
        <v>30</v>
      </c>
      <c r="E58" s="207">
        <f>ROUNDUP(E$16*(E$57/12),0)</f>
        <v>25</v>
      </c>
      <c r="F58" s="207">
        <v>25</v>
      </c>
      <c r="G58" s="207">
        <v>25</v>
      </c>
      <c r="H58" s="207">
        <f>ROUNDUP(H$16*(H$57/12),0)</f>
        <v>25</v>
      </c>
      <c r="I58" s="207">
        <f>ROUNDUP(I$16*(I$57/12),0)</f>
        <v>7</v>
      </c>
      <c r="J58" s="207">
        <f>ROUNDUP(J$16*(J$57/12),0)</f>
        <v>7</v>
      </c>
      <c r="K58" s="207">
        <f>ROUNDUP(K$16*(K$57/12),0)</f>
        <v>0</v>
      </c>
    </row>
    <row r="59" spans="1:12" x14ac:dyDescent="0.25">
      <c r="A59" t="s">
        <v>345</v>
      </c>
      <c r="C59" s="161"/>
      <c r="D59" s="161"/>
      <c r="E59" s="161"/>
      <c r="F59" s="161"/>
      <c r="G59" s="161"/>
      <c r="H59" s="161"/>
      <c r="I59" s="161"/>
      <c r="J59" s="161"/>
      <c r="K59" s="161"/>
    </row>
    <row r="60" spans="1:12" x14ac:dyDescent="0.25">
      <c r="A60" t="s">
        <v>346</v>
      </c>
      <c r="C60" s="161">
        <v>9</v>
      </c>
      <c r="D60" s="161">
        <v>11</v>
      </c>
      <c r="E60" s="161">
        <v>5</v>
      </c>
      <c r="F60" s="161">
        <v>14</v>
      </c>
      <c r="G60" s="161">
        <v>12</v>
      </c>
      <c r="H60" s="161">
        <v>15</v>
      </c>
      <c r="I60" s="161"/>
      <c r="J60" s="161"/>
      <c r="K60" s="161"/>
    </row>
    <row r="61" spans="1:12" x14ac:dyDescent="0.25">
      <c r="A61" t="s">
        <v>347</v>
      </c>
      <c r="C61" s="161">
        <v>2</v>
      </c>
      <c r="D61" s="161">
        <v>2</v>
      </c>
      <c r="E61" s="161"/>
      <c r="F61" s="161">
        <v>100</v>
      </c>
      <c r="G61" s="161">
        <v>60</v>
      </c>
      <c r="H61" s="161"/>
      <c r="I61" s="161"/>
      <c r="J61" s="161"/>
      <c r="K61" s="161"/>
    </row>
    <row r="62" spans="1:12" x14ac:dyDescent="0.25">
      <c r="A62" t="s">
        <v>348</v>
      </c>
      <c r="C62" s="202">
        <f t="shared" ref="C62:K62" si="20">IF(C$6="Leer",0,C$55-(C$56+C$58+C$60+C$61)*C$46/C$15)</f>
        <v>1831</v>
      </c>
      <c r="D62" s="202">
        <f t="shared" si="20"/>
        <v>1703.5</v>
      </c>
      <c r="E62" s="202">
        <f t="shared" si="20"/>
        <v>1736</v>
      </c>
      <c r="F62" s="202">
        <f t="shared" si="20"/>
        <v>865.8</v>
      </c>
      <c r="G62" s="202">
        <f t="shared" si="20"/>
        <v>1193.4000000000001</v>
      </c>
      <c r="H62" s="202">
        <f t="shared" si="20"/>
        <v>420</v>
      </c>
      <c r="I62" s="202">
        <f t="shared" si="20"/>
        <v>384</v>
      </c>
      <c r="J62" s="202">
        <f t="shared" si="20"/>
        <v>384</v>
      </c>
      <c r="K62" s="202">
        <f t="shared" si="20"/>
        <v>0</v>
      </c>
      <c r="L62" s="205">
        <f>SUM(C62:K62)</f>
        <v>8517.7000000000007</v>
      </c>
    </row>
    <row r="63" spans="1:12" ht="12.75" customHeight="1" x14ac:dyDescent="0.25">
      <c r="A63" t="s">
        <v>239</v>
      </c>
      <c r="C63" s="53">
        <v>0</v>
      </c>
      <c r="D63" s="53"/>
      <c r="E63" s="53"/>
      <c r="F63" s="53"/>
      <c r="G63" s="53"/>
      <c r="H63" s="53"/>
      <c r="I63" s="53"/>
      <c r="J63" s="53"/>
      <c r="K63" s="53"/>
    </row>
    <row r="64" spans="1:12" ht="13.5" customHeight="1" x14ac:dyDescent="0.25">
      <c r="A64" t="s">
        <v>240</v>
      </c>
      <c r="C64" s="53"/>
      <c r="D64" s="53"/>
      <c r="E64" s="53"/>
      <c r="F64" s="53"/>
      <c r="G64" s="53"/>
      <c r="H64" s="53"/>
      <c r="I64" s="53"/>
      <c r="J64" s="53"/>
      <c r="K64" s="53"/>
    </row>
    <row r="65" spans="1:12" x14ac:dyDescent="0.25">
      <c r="A65" s="139" t="s">
        <v>241</v>
      </c>
      <c r="C65" s="53">
        <v>0.75</v>
      </c>
      <c r="D65" s="53">
        <v>0.4</v>
      </c>
      <c r="E65" s="53">
        <v>0.7</v>
      </c>
      <c r="F65" s="53">
        <v>0.8</v>
      </c>
      <c r="G65" s="53">
        <v>0.8</v>
      </c>
      <c r="H65" s="53">
        <v>0.9</v>
      </c>
      <c r="I65" s="53">
        <v>0.95</v>
      </c>
      <c r="J65" s="53">
        <v>0.95</v>
      </c>
      <c r="K65" s="53"/>
    </row>
    <row r="66" spans="1:12" ht="13.5" customHeight="1" x14ac:dyDescent="0.25">
      <c r="A66" t="s">
        <v>242</v>
      </c>
      <c r="C66" s="53">
        <v>0.2</v>
      </c>
      <c r="D66" s="53">
        <v>0.1</v>
      </c>
      <c r="E66" s="53"/>
      <c r="F66" s="53"/>
      <c r="G66" s="53">
        <v>0.1</v>
      </c>
      <c r="H66" s="53"/>
      <c r="I66" s="53"/>
      <c r="J66" s="53"/>
      <c r="K66" s="53"/>
    </row>
    <row r="67" spans="1:12" ht="13.5" customHeight="1" x14ac:dyDescent="0.25">
      <c r="A67" s="139" t="s">
        <v>243</v>
      </c>
      <c r="C67" s="53"/>
      <c r="D67" s="53">
        <v>0.2</v>
      </c>
      <c r="E67" s="53">
        <v>0.2</v>
      </c>
      <c r="F67" s="53"/>
      <c r="G67" s="53"/>
      <c r="H67" s="53"/>
      <c r="I67" s="53"/>
      <c r="J67" s="53"/>
      <c r="K67" s="53"/>
    </row>
    <row r="68" spans="1:12" ht="13.5" customHeight="1" x14ac:dyDescent="0.25">
      <c r="A68" t="str">
        <f>Lohnansatz!A18</f>
        <v>Objektgestaltung</v>
      </c>
      <c r="C68" s="53"/>
      <c r="D68" s="53">
        <v>0.2</v>
      </c>
      <c r="E68" s="53"/>
      <c r="F68" s="53"/>
      <c r="G68" s="53"/>
      <c r="H68" s="53"/>
      <c r="I68" s="53"/>
      <c r="J68" s="53"/>
      <c r="K68" s="53"/>
    </row>
    <row r="69" spans="1:12" ht="13.5" customHeight="1" x14ac:dyDescent="0.25">
      <c r="A69">
        <f>Lohnansatz!A19</f>
        <v>0</v>
      </c>
      <c r="C69" s="53"/>
      <c r="D69" s="53"/>
      <c r="E69" s="53"/>
      <c r="F69" s="53"/>
      <c r="G69" s="53"/>
      <c r="H69" s="53"/>
      <c r="I69" s="53"/>
      <c r="J69" s="53"/>
      <c r="K69" s="53"/>
    </row>
    <row r="70" spans="1:12" s="209" customFormat="1" ht="14.25" customHeight="1" x14ac:dyDescent="0.25">
      <c r="A70" s="214" t="s">
        <v>263</v>
      </c>
      <c r="B70" s="214"/>
      <c r="C70" s="208">
        <f t="shared" ref="C70:K70" si="21">IF(SUM(C63:C69)&gt;1,"WERT?",SUM(C63:C69))</f>
        <v>0.95</v>
      </c>
      <c r="D70" s="208">
        <f t="shared" si="21"/>
        <v>0.89999999999999991</v>
      </c>
      <c r="E70" s="208">
        <f t="shared" si="21"/>
        <v>0.89999999999999991</v>
      </c>
      <c r="F70" s="208">
        <f t="shared" si="21"/>
        <v>0.8</v>
      </c>
      <c r="G70" s="208">
        <f t="shared" si="21"/>
        <v>0.9</v>
      </c>
      <c r="H70" s="208">
        <f t="shared" si="21"/>
        <v>0.9</v>
      </c>
      <c r="I70" s="208">
        <f t="shared" si="21"/>
        <v>0.95</v>
      </c>
      <c r="J70" s="208">
        <f t="shared" si="21"/>
        <v>0.95</v>
      </c>
      <c r="K70" s="208">
        <f t="shared" si="21"/>
        <v>0</v>
      </c>
    </row>
    <row r="71" spans="1:12" x14ac:dyDescent="0.25">
      <c r="A71" t="s">
        <v>349</v>
      </c>
      <c r="C71" s="210">
        <f t="shared" ref="C71:K71" si="22">C$62*C63</f>
        <v>0</v>
      </c>
      <c r="D71" s="210">
        <f t="shared" si="22"/>
        <v>0</v>
      </c>
      <c r="E71" s="210">
        <f t="shared" si="22"/>
        <v>0</v>
      </c>
      <c r="F71" s="210">
        <f t="shared" si="22"/>
        <v>0</v>
      </c>
      <c r="G71" s="210">
        <f t="shared" si="22"/>
        <v>0</v>
      </c>
      <c r="H71" s="210">
        <f t="shared" si="22"/>
        <v>0</v>
      </c>
      <c r="I71" s="210">
        <f t="shared" si="22"/>
        <v>0</v>
      </c>
      <c r="J71" s="210">
        <f t="shared" si="22"/>
        <v>0</v>
      </c>
      <c r="K71" s="210">
        <f t="shared" si="22"/>
        <v>0</v>
      </c>
      <c r="L71" s="211">
        <f t="shared" ref="L71:L87" si="23">SUM(C71:K71)</f>
        <v>0</v>
      </c>
    </row>
    <row r="72" spans="1:12" x14ac:dyDescent="0.25">
      <c r="A72" t="s">
        <v>350</v>
      </c>
      <c r="C72" s="210">
        <f t="shared" ref="C72:K72" si="24">C$62*C64</f>
        <v>0</v>
      </c>
      <c r="D72" s="210">
        <f t="shared" si="24"/>
        <v>0</v>
      </c>
      <c r="E72" s="210">
        <f t="shared" si="24"/>
        <v>0</v>
      </c>
      <c r="F72" s="210">
        <f t="shared" si="24"/>
        <v>0</v>
      </c>
      <c r="G72" s="210">
        <f t="shared" si="24"/>
        <v>0</v>
      </c>
      <c r="H72" s="210">
        <f t="shared" si="24"/>
        <v>0</v>
      </c>
      <c r="I72" s="210">
        <f t="shared" si="24"/>
        <v>0</v>
      </c>
      <c r="J72" s="210">
        <f t="shared" si="24"/>
        <v>0</v>
      </c>
      <c r="K72" s="210">
        <f t="shared" si="24"/>
        <v>0</v>
      </c>
      <c r="L72" s="211">
        <f t="shared" si="23"/>
        <v>0</v>
      </c>
    </row>
    <row r="73" spans="1:12" x14ac:dyDescent="0.25">
      <c r="A73" t="s">
        <v>351</v>
      </c>
      <c r="C73" s="210">
        <f t="shared" ref="C73:K73" si="25">C$62*C65</f>
        <v>1373.25</v>
      </c>
      <c r="D73" s="210">
        <f t="shared" si="25"/>
        <v>681.40000000000009</v>
      </c>
      <c r="E73" s="210">
        <f t="shared" si="25"/>
        <v>1215.1999999999998</v>
      </c>
      <c r="F73" s="210">
        <f t="shared" si="25"/>
        <v>692.64</v>
      </c>
      <c r="G73" s="210">
        <f t="shared" si="25"/>
        <v>954.72000000000014</v>
      </c>
      <c r="H73" s="210">
        <f t="shared" si="25"/>
        <v>378</v>
      </c>
      <c r="I73" s="210">
        <f t="shared" si="25"/>
        <v>364.79999999999995</v>
      </c>
      <c r="J73" s="210">
        <f t="shared" si="25"/>
        <v>364.79999999999995</v>
      </c>
      <c r="K73" s="210">
        <f t="shared" si="25"/>
        <v>0</v>
      </c>
      <c r="L73" s="211">
        <f t="shared" si="23"/>
        <v>6024.81</v>
      </c>
    </row>
    <row r="74" spans="1:12" x14ac:dyDescent="0.25">
      <c r="A74" t="s">
        <v>352</v>
      </c>
      <c r="C74" s="210">
        <f t="shared" ref="C74:K74" si="26">C$62*C66</f>
        <v>366.20000000000005</v>
      </c>
      <c r="D74" s="210">
        <f t="shared" si="26"/>
        <v>170.35000000000002</v>
      </c>
      <c r="E74" s="210">
        <f t="shared" si="26"/>
        <v>0</v>
      </c>
      <c r="F74" s="210">
        <f t="shared" si="26"/>
        <v>0</v>
      </c>
      <c r="G74" s="210">
        <f t="shared" si="26"/>
        <v>119.34000000000002</v>
      </c>
      <c r="H74" s="210">
        <f t="shared" si="26"/>
        <v>0</v>
      </c>
      <c r="I74" s="210">
        <f t="shared" si="26"/>
        <v>0</v>
      </c>
      <c r="J74" s="210">
        <f t="shared" si="26"/>
        <v>0</v>
      </c>
      <c r="K74" s="210">
        <f t="shared" si="26"/>
        <v>0</v>
      </c>
      <c r="L74" s="211">
        <f t="shared" si="23"/>
        <v>655.8900000000001</v>
      </c>
    </row>
    <row r="75" spans="1:12" x14ac:dyDescent="0.25">
      <c r="A75" s="139" t="s">
        <v>353</v>
      </c>
      <c r="C75" s="210">
        <f t="shared" ref="C75:K75" si="27">C$62*C67</f>
        <v>0</v>
      </c>
      <c r="D75" s="210">
        <f t="shared" si="27"/>
        <v>340.70000000000005</v>
      </c>
      <c r="E75" s="210">
        <f t="shared" si="27"/>
        <v>347.20000000000005</v>
      </c>
      <c r="F75" s="210">
        <f t="shared" si="27"/>
        <v>0</v>
      </c>
      <c r="G75" s="210">
        <f t="shared" si="27"/>
        <v>0</v>
      </c>
      <c r="H75" s="210">
        <f t="shared" si="27"/>
        <v>0</v>
      </c>
      <c r="I75" s="210">
        <f t="shared" si="27"/>
        <v>0</v>
      </c>
      <c r="J75" s="210">
        <f t="shared" si="27"/>
        <v>0</v>
      </c>
      <c r="K75" s="210">
        <f t="shared" si="27"/>
        <v>0</v>
      </c>
      <c r="L75" s="211">
        <f t="shared" si="23"/>
        <v>687.90000000000009</v>
      </c>
    </row>
    <row r="76" spans="1:12" x14ac:dyDescent="0.25">
      <c r="A76" t="str">
        <f>A68</f>
        <v>Objektgestaltung</v>
      </c>
      <c r="C76" s="210">
        <f t="shared" ref="C76:K76" si="28">C$62*C68</f>
        <v>0</v>
      </c>
      <c r="D76" s="210">
        <f t="shared" si="28"/>
        <v>340.70000000000005</v>
      </c>
      <c r="E76" s="210">
        <f t="shared" si="28"/>
        <v>0</v>
      </c>
      <c r="F76" s="210">
        <f t="shared" si="28"/>
        <v>0</v>
      </c>
      <c r="G76" s="210">
        <f t="shared" si="28"/>
        <v>0</v>
      </c>
      <c r="H76" s="210">
        <f t="shared" si="28"/>
        <v>0</v>
      </c>
      <c r="I76" s="210">
        <f t="shared" si="28"/>
        <v>0</v>
      </c>
      <c r="J76" s="210">
        <f t="shared" si="28"/>
        <v>0</v>
      </c>
      <c r="K76" s="210">
        <f t="shared" si="28"/>
        <v>0</v>
      </c>
      <c r="L76" s="211">
        <f t="shared" si="23"/>
        <v>340.70000000000005</v>
      </c>
    </row>
    <row r="77" spans="1:12" x14ac:dyDescent="0.25">
      <c r="A77">
        <f>A69</f>
        <v>0</v>
      </c>
      <c r="C77" s="210">
        <f t="shared" ref="C77:K77" si="29">C$62*C69</f>
        <v>0</v>
      </c>
      <c r="D77" s="210">
        <f t="shared" si="29"/>
        <v>0</v>
      </c>
      <c r="E77" s="210">
        <f t="shared" si="29"/>
        <v>0</v>
      </c>
      <c r="F77" s="210">
        <f t="shared" si="29"/>
        <v>0</v>
      </c>
      <c r="G77" s="210">
        <f t="shared" si="29"/>
        <v>0</v>
      </c>
      <c r="H77" s="210">
        <f t="shared" si="29"/>
        <v>0</v>
      </c>
      <c r="I77" s="210">
        <f t="shared" si="29"/>
        <v>0</v>
      </c>
      <c r="J77" s="210">
        <f t="shared" si="29"/>
        <v>0</v>
      </c>
      <c r="K77" s="210">
        <f t="shared" si="29"/>
        <v>0</v>
      </c>
      <c r="L77" s="211">
        <f t="shared" si="23"/>
        <v>0</v>
      </c>
    </row>
    <row r="78" spans="1:12" x14ac:dyDescent="0.25">
      <c r="A78" t="s">
        <v>264</v>
      </c>
      <c r="C78" s="202">
        <f t="shared" ref="C78:K78" si="30">SUM(C63:C69)*C62</f>
        <v>1739.4499999999998</v>
      </c>
      <c r="D78" s="202">
        <f t="shared" si="30"/>
        <v>1533.1499999999999</v>
      </c>
      <c r="E78" s="202">
        <f t="shared" si="30"/>
        <v>1562.3999999999999</v>
      </c>
      <c r="F78" s="202">
        <f t="shared" si="30"/>
        <v>692.64</v>
      </c>
      <c r="G78" s="202">
        <f t="shared" si="30"/>
        <v>1074.0600000000002</v>
      </c>
      <c r="H78" s="202">
        <f t="shared" si="30"/>
        <v>378</v>
      </c>
      <c r="I78" s="202">
        <f t="shared" si="30"/>
        <v>364.79999999999995</v>
      </c>
      <c r="J78" s="202">
        <f t="shared" si="30"/>
        <v>364.79999999999995</v>
      </c>
      <c r="K78" s="202">
        <f t="shared" si="30"/>
        <v>0</v>
      </c>
      <c r="L78" s="212">
        <f t="shared" si="23"/>
        <v>7709.3</v>
      </c>
    </row>
    <row r="79" spans="1:12" x14ac:dyDescent="0.25">
      <c r="A79" t="s">
        <v>265</v>
      </c>
      <c r="C79" s="202">
        <f t="shared" ref="C79:K79" si="31">C62-C78</f>
        <v>91.550000000000182</v>
      </c>
      <c r="D79" s="202">
        <f t="shared" si="31"/>
        <v>170.35000000000014</v>
      </c>
      <c r="E79" s="202">
        <f t="shared" si="31"/>
        <v>173.60000000000014</v>
      </c>
      <c r="F79" s="202">
        <f t="shared" si="31"/>
        <v>173.15999999999997</v>
      </c>
      <c r="G79" s="202">
        <f t="shared" si="31"/>
        <v>119.33999999999992</v>
      </c>
      <c r="H79" s="202">
        <f t="shared" si="31"/>
        <v>42</v>
      </c>
      <c r="I79" s="202">
        <f t="shared" si="31"/>
        <v>19.200000000000045</v>
      </c>
      <c r="J79" s="202">
        <f t="shared" si="31"/>
        <v>19.200000000000045</v>
      </c>
      <c r="K79" s="202">
        <f t="shared" si="31"/>
        <v>0</v>
      </c>
      <c r="L79" s="213">
        <f t="shared" si="23"/>
        <v>808.40000000000043</v>
      </c>
    </row>
    <row r="80" spans="1:12" x14ac:dyDescent="0.25">
      <c r="A80" t="s">
        <v>271</v>
      </c>
      <c r="C80" s="158">
        <f t="shared" ref="C80:K80" si="32">C$41*C71</f>
        <v>0</v>
      </c>
      <c r="D80" s="158">
        <f t="shared" si="32"/>
        <v>0</v>
      </c>
      <c r="E80" s="158">
        <f t="shared" si="32"/>
        <v>0</v>
      </c>
      <c r="F80" s="158">
        <f t="shared" si="32"/>
        <v>0</v>
      </c>
      <c r="G80" s="158">
        <f t="shared" si="32"/>
        <v>0</v>
      </c>
      <c r="H80" s="158">
        <f t="shared" si="32"/>
        <v>0</v>
      </c>
      <c r="I80" s="158">
        <f t="shared" si="32"/>
        <v>0</v>
      </c>
      <c r="J80" s="158">
        <f t="shared" si="32"/>
        <v>0</v>
      </c>
      <c r="K80" s="158">
        <f t="shared" si="32"/>
        <v>0</v>
      </c>
      <c r="L80" s="197">
        <f t="shared" si="23"/>
        <v>0</v>
      </c>
    </row>
    <row r="81" spans="1:55" x14ac:dyDescent="0.25">
      <c r="A81" t="s">
        <v>272</v>
      </c>
      <c r="C81" s="158">
        <f t="shared" ref="C81:K81" si="33">C$41*C72</f>
        <v>0</v>
      </c>
      <c r="D81" s="158">
        <f t="shared" si="33"/>
        <v>0</v>
      </c>
      <c r="E81" s="158">
        <f t="shared" si="33"/>
        <v>0</v>
      </c>
      <c r="F81" s="158">
        <f t="shared" si="33"/>
        <v>0</v>
      </c>
      <c r="G81" s="158">
        <f t="shared" si="33"/>
        <v>0</v>
      </c>
      <c r="H81" s="158">
        <f t="shared" si="33"/>
        <v>0</v>
      </c>
      <c r="I81" s="158">
        <f t="shared" si="33"/>
        <v>0</v>
      </c>
      <c r="J81" s="158">
        <f t="shared" si="33"/>
        <v>0</v>
      </c>
      <c r="K81" s="158">
        <f t="shared" si="33"/>
        <v>0</v>
      </c>
      <c r="L81" s="197">
        <f t="shared" si="23"/>
        <v>0</v>
      </c>
    </row>
    <row r="82" spans="1:55" ht="13.5" customHeight="1" x14ac:dyDescent="0.25">
      <c r="A82" t="s">
        <v>273</v>
      </c>
      <c r="C82" s="158">
        <f t="shared" ref="C82:K82" si="34">C$41*C73</f>
        <v>27632.272144308758</v>
      </c>
      <c r="D82" s="158">
        <f t="shared" si="34"/>
        <v>12963.790565027184</v>
      </c>
      <c r="E82" s="158">
        <f t="shared" si="34"/>
        <v>18960.40903087426</v>
      </c>
      <c r="F82" s="158">
        <f t="shared" si="34"/>
        <v>7779.501640595513</v>
      </c>
      <c r="G82" s="158">
        <f t="shared" si="34"/>
        <v>8658.0350420266641</v>
      </c>
      <c r="H82" s="158">
        <f t="shared" si="34"/>
        <v>6546.8043016203719</v>
      </c>
      <c r="I82" s="158">
        <f t="shared" si="34"/>
        <v>4115.173000107744</v>
      </c>
      <c r="J82" s="158">
        <f t="shared" si="34"/>
        <v>4115.173000107744</v>
      </c>
      <c r="K82" s="158">
        <f t="shared" si="34"/>
        <v>0</v>
      </c>
      <c r="L82" s="197">
        <f t="shared" si="23"/>
        <v>90771.158724668232</v>
      </c>
    </row>
    <row r="83" spans="1:55" ht="14.25" customHeight="1" x14ac:dyDescent="0.25">
      <c r="A83" t="s">
        <v>274</v>
      </c>
      <c r="C83" s="158">
        <f t="shared" ref="C83:K83" si="35">C$41*C74</f>
        <v>7368.6059051490029</v>
      </c>
      <c r="D83" s="158">
        <f t="shared" si="35"/>
        <v>3240.947641256796</v>
      </c>
      <c r="E83" s="158">
        <f t="shared" si="35"/>
        <v>0</v>
      </c>
      <c r="F83" s="158">
        <f t="shared" si="35"/>
        <v>0</v>
      </c>
      <c r="G83" s="158">
        <f t="shared" si="35"/>
        <v>1082.254380253333</v>
      </c>
      <c r="H83" s="158">
        <f t="shared" si="35"/>
        <v>0</v>
      </c>
      <c r="I83" s="158">
        <f t="shared" si="35"/>
        <v>0</v>
      </c>
      <c r="J83" s="158">
        <f t="shared" si="35"/>
        <v>0</v>
      </c>
      <c r="K83" s="158">
        <f t="shared" si="35"/>
        <v>0</v>
      </c>
      <c r="L83" s="197">
        <f t="shared" si="23"/>
        <v>11691.807926659132</v>
      </c>
    </row>
    <row r="84" spans="1:55" ht="14.25" customHeight="1" x14ac:dyDescent="0.25">
      <c r="A84" s="139" t="s">
        <v>353</v>
      </c>
      <c r="C84" s="158">
        <f t="shared" ref="C84:K84" si="36">C$41*C75</f>
        <v>0</v>
      </c>
      <c r="D84" s="158">
        <f t="shared" si="36"/>
        <v>6481.8952825135921</v>
      </c>
      <c r="E84" s="158">
        <f t="shared" si="36"/>
        <v>5417.2597231069331</v>
      </c>
      <c r="F84" s="158">
        <f t="shared" si="36"/>
        <v>0</v>
      </c>
      <c r="G84" s="158">
        <f t="shared" si="36"/>
        <v>0</v>
      </c>
      <c r="H84" s="158">
        <f t="shared" si="36"/>
        <v>0</v>
      </c>
      <c r="I84" s="158">
        <f t="shared" si="36"/>
        <v>0</v>
      </c>
      <c r="J84" s="158">
        <f t="shared" si="36"/>
        <v>0</v>
      </c>
      <c r="K84" s="158">
        <f t="shared" si="36"/>
        <v>0</v>
      </c>
      <c r="L84" s="197">
        <f t="shared" si="23"/>
        <v>11899.155005620525</v>
      </c>
    </row>
    <row r="85" spans="1:55" ht="14.25" customHeight="1" x14ac:dyDescent="0.25">
      <c r="A85" t="str">
        <f>A68</f>
        <v>Objektgestaltung</v>
      </c>
      <c r="C85" s="158">
        <f t="shared" ref="C85:K85" si="37">C$41*C76</f>
        <v>0</v>
      </c>
      <c r="D85" s="158">
        <f t="shared" si="37"/>
        <v>6481.8952825135921</v>
      </c>
      <c r="E85" s="158">
        <f t="shared" si="37"/>
        <v>0</v>
      </c>
      <c r="F85" s="158">
        <f t="shared" si="37"/>
        <v>0</v>
      </c>
      <c r="G85" s="158">
        <f t="shared" si="37"/>
        <v>0</v>
      </c>
      <c r="H85" s="158">
        <f t="shared" si="37"/>
        <v>0</v>
      </c>
      <c r="I85" s="158">
        <f t="shared" si="37"/>
        <v>0</v>
      </c>
      <c r="J85" s="158">
        <f t="shared" si="37"/>
        <v>0</v>
      </c>
      <c r="K85" s="158">
        <f t="shared" si="37"/>
        <v>0</v>
      </c>
      <c r="L85" s="197">
        <f t="shared" si="23"/>
        <v>6481.8952825135921</v>
      </c>
    </row>
    <row r="86" spans="1:55" ht="14.25" customHeight="1" x14ac:dyDescent="0.25">
      <c r="A86">
        <f>A69</f>
        <v>0</v>
      </c>
      <c r="C86" s="158">
        <f t="shared" ref="C86:K86" si="38">C$41*C77</f>
        <v>0</v>
      </c>
      <c r="D86" s="158">
        <f t="shared" si="38"/>
        <v>0</v>
      </c>
      <c r="E86" s="158">
        <f t="shared" si="38"/>
        <v>0</v>
      </c>
      <c r="F86" s="158">
        <f t="shared" si="38"/>
        <v>0</v>
      </c>
      <c r="G86" s="158">
        <f t="shared" si="38"/>
        <v>0</v>
      </c>
      <c r="H86" s="158">
        <f t="shared" si="38"/>
        <v>0</v>
      </c>
      <c r="I86" s="158">
        <f t="shared" si="38"/>
        <v>0</v>
      </c>
      <c r="J86" s="158">
        <f t="shared" si="38"/>
        <v>0</v>
      </c>
      <c r="K86" s="158">
        <f t="shared" si="38"/>
        <v>0</v>
      </c>
      <c r="L86" s="197">
        <f t="shared" si="23"/>
        <v>0</v>
      </c>
    </row>
    <row r="87" spans="1:55" ht="14.25" customHeight="1" x14ac:dyDescent="0.25">
      <c r="A87" t="s">
        <v>265</v>
      </c>
      <c r="C87" s="158">
        <f t="shared" ref="C87:K87" si="39">C$41*C79</f>
        <v>1842.1514762872541</v>
      </c>
      <c r="D87" s="158">
        <f t="shared" si="39"/>
        <v>3240.9476412567983</v>
      </c>
      <c r="E87" s="158">
        <f t="shared" si="39"/>
        <v>2708.6298615534683</v>
      </c>
      <c r="F87" s="158">
        <f t="shared" si="39"/>
        <v>1944.8754101488778</v>
      </c>
      <c r="G87" s="158">
        <f t="shared" si="39"/>
        <v>1082.2543802533321</v>
      </c>
      <c r="H87" s="158">
        <f t="shared" si="39"/>
        <v>727.42270018004137</v>
      </c>
      <c r="I87" s="158">
        <f t="shared" si="39"/>
        <v>216.58805263725023</v>
      </c>
      <c r="J87" s="158">
        <f t="shared" si="39"/>
        <v>216.58805263725023</v>
      </c>
      <c r="K87" s="158">
        <f t="shared" si="39"/>
        <v>0</v>
      </c>
      <c r="L87" s="197">
        <f t="shared" si="23"/>
        <v>11979.457574954271</v>
      </c>
    </row>
    <row r="88" spans="1:55" ht="14.25" customHeight="1" x14ac:dyDescent="0.25"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</row>
    <row r="89" spans="1:55" ht="14.25" customHeight="1" x14ac:dyDescent="0.25"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</row>
  </sheetData>
  <sheetProtection algorithmName="SHA-512" hashValue="LMFPVLZpADIvv1fW+OljmiCg7y1ijmDUDBt9wYAecaN5o9gZy30Pu3HACpCvHTUYLEu0tB7JQVgZUnK2e2wAHw==" saltValue="s58fSRUX4EzgcniJfr+FyA==" spinCount="100000" sheet="1" objects="1" scenarios="1" selectLockedCells="1"/>
  <mergeCells count="1">
    <mergeCell ref="A70:B70"/>
  </mergeCells>
  <conditionalFormatting sqref="C70:K70">
    <cfRule type="cellIs" dxfId="0" priority="1" stopIfTrue="1" operator="greaterThan">
      <formula>1</formula>
    </cfRule>
  </conditionalFormatting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3" sqref="D13"/>
    </sheetView>
  </sheetViews>
  <sheetFormatPr baseColWidth="10" defaultRowHeight="13.8" x14ac:dyDescent="0.25"/>
  <cols>
    <col min="1" max="1" width="23.796875" customWidth="1"/>
    <col min="2" max="10" width="15.5" customWidth="1"/>
    <col min="11" max="13" width="11.19921875" customWidth="1"/>
    <col min="14" max="1024" width="7.8984375" customWidth="1"/>
  </cols>
  <sheetData>
    <row r="1" spans="1:12" ht="22.8" x14ac:dyDescent="0.4">
      <c r="A1" s="143" t="s">
        <v>354</v>
      </c>
      <c r="B1" s="215"/>
      <c r="C1" s="215"/>
      <c r="D1" s="215"/>
      <c r="E1" s="215"/>
      <c r="F1" s="215"/>
      <c r="G1" s="215"/>
      <c r="H1" s="215"/>
      <c r="I1" s="216">
        <f ca="1">I15</f>
        <v>19.697451437527668</v>
      </c>
    </row>
    <row r="2" spans="1:12" x14ac:dyDescent="0.25">
      <c r="B2" t="s">
        <v>355</v>
      </c>
      <c r="C2" t="s">
        <v>19</v>
      </c>
      <c r="D2" t="s">
        <v>356</v>
      </c>
    </row>
    <row r="3" spans="1:12" x14ac:dyDescent="0.25">
      <c r="B3" s="67">
        <f>Lohnkalk!L40</f>
        <v>132823.47451441572</v>
      </c>
      <c r="C3" s="67">
        <f ca="1">Lohnansatz!G9</f>
        <v>78595.180999999997</v>
      </c>
      <c r="D3" s="217">
        <f ca="1">B3+C3</f>
        <v>211418.6555144157</v>
      </c>
    </row>
    <row r="4" spans="1:12" x14ac:dyDescent="0.25">
      <c r="B4" s="67"/>
      <c r="C4" s="67"/>
      <c r="D4" s="218"/>
    </row>
    <row r="5" spans="1:12" ht="26.4" x14ac:dyDescent="0.25">
      <c r="B5" s="204" t="s">
        <v>357</v>
      </c>
      <c r="C5" s="204" t="s">
        <v>358</v>
      </c>
      <c r="D5" s="204" t="s">
        <v>359</v>
      </c>
      <c r="E5" s="204" t="s">
        <v>360</v>
      </c>
      <c r="F5" s="204" t="s">
        <v>361</v>
      </c>
      <c r="G5" s="204" t="s">
        <v>362</v>
      </c>
      <c r="H5" s="204"/>
      <c r="I5" s="219" t="s">
        <v>363</v>
      </c>
    </row>
    <row r="6" spans="1:12" x14ac:dyDescent="0.25">
      <c r="A6" t="s">
        <v>239</v>
      </c>
      <c r="B6" s="220">
        <f>Lohnkalk!L71</f>
        <v>0</v>
      </c>
      <c r="C6" s="220">
        <f>Lohnansatz!G23</f>
        <v>2160</v>
      </c>
      <c r="D6" s="220">
        <f t="shared" ref="D6:D12" si="0">SUM(B6:C6)</f>
        <v>2160</v>
      </c>
      <c r="E6" s="67">
        <f>Lohnkalk!L80</f>
        <v>0</v>
      </c>
      <c r="F6" s="67">
        <f ca="1">Lohnansatz!G13</f>
        <v>50327.308599999997</v>
      </c>
      <c r="G6" s="140">
        <f t="shared" ref="G6:G12" ca="1" si="1">E6+F6</f>
        <v>50327.308599999997</v>
      </c>
      <c r="H6" s="140" t="s">
        <v>364</v>
      </c>
      <c r="I6" s="159">
        <f t="shared" ref="I6:I12" ca="1" si="2">IF(D6=0,0,(G6+G6*$F$17)/D6)</f>
        <v>25.523431418792363</v>
      </c>
    </row>
    <row r="7" spans="1:12" x14ac:dyDescent="0.25">
      <c r="A7" t="s">
        <v>240</v>
      </c>
      <c r="B7" s="220">
        <f>Lohnkalk!L72</f>
        <v>0</v>
      </c>
      <c r="C7" s="220">
        <f>Lohnansatz!G24</f>
        <v>432</v>
      </c>
      <c r="D7" s="220">
        <f t="shared" si="0"/>
        <v>432</v>
      </c>
      <c r="E7" s="67">
        <f>Lohnkalk!L81</f>
        <v>0</v>
      </c>
      <c r="F7" s="67">
        <f ca="1">Lohnansatz!G14</f>
        <v>12548.8362</v>
      </c>
      <c r="G7" s="140">
        <f t="shared" ca="1" si="1"/>
        <v>12548.8362</v>
      </c>
      <c r="H7" s="140" t="s">
        <v>365</v>
      </c>
      <c r="I7" s="159">
        <f t="shared" ca="1" si="2"/>
        <v>31.820632678970536</v>
      </c>
    </row>
    <row r="8" spans="1:12" x14ac:dyDescent="0.25">
      <c r="A8" s="139" t="s">
        <v>241</v>
      </c>
      <c r="B8" s="220">
        <f>Lohnkalk!L73</f>
        <v>6024.81</v>
      </c>
      <c r="C8" s="220">
        <f>Lohnansatz!G25</f>
        <v>216</v>
      </c>
      <c r="D8" s="220">
        <f t="shared" si="0"/>
        <v>6240.81</v>
      </c>
      <c r="E8" s="67">
        <f>Lohnkalk!L82</f>
        <v>90771.158724668232</v>
      </c>
      <c r="F8" s="67">
        <f ca="1">Lohnansatz!G15</f>
        <v>6274.4180999999999</v>
      </c>
      <c r="G8" s="140">
        <f t="shared" ca="1" si="1"/>
        <v>97045.576824668227</v>
      </c>
      <c r="H8" s="140" t="s">
        <v>366</v>
      </c>
      <c r="I8" s="159">
        <f t="shared" ca="1" si="2"/>
        <v>17.034284313106877</v>
      </c>
    </row>
    <row r="9" spans="1:12" x14ac:dyDescent="0.25">
      <c r="A9" t="s">
        <v>242</v>
      </c>
      <c r="B9" s="220">
        <f>Lohnkalk!L74</f>
        <v>655.8900000000001</v>
      </c>
      <c r="C9" s="220">
        <f>Lohnansatz!G26</f>
        <v>216</v>
      </c>
      <c r="D9" s="220">
        <f t="shared" si="0"/>
        <v>871.8900000000001</v>
      </c>
      <c r="E9" s="67">
        <f>Lohnkalk!L83</f>
        <v>11691.807926659132</v>
      </c>
      <c r="F9" s="67">
        <f ca="1">Lohnansatz!G16</f>
        <v>3170.2000000000003</v>
      </c>
      <c r="G9" s="140">
        <f t="shared" ca="1" si="1"/>
        <v>14862.007926659133</v>
      </c>
      <c r="H9" s="140" t="s">
        <v>367</v>
      </c>
      <c r="I9" s="221">
        <f t="shared" ca="1" si="2"/>
        <v>18.672604500566095</v>
      </c>
      <c r="J9" s="229" t="s">
        <v>368</v>
      </c>
      <c r="K9" s="229"/>
      <c r="L9" s="229"/>
    </row>
    <row r="10" spans="1:12" x14ac:dyDescent="0.25">
      <c r="A10" s="139" t="s">
        <v>243</v>
      </c>
      <c r="B10" s="220">
        <f>Lohnkalk!L75</f>
        <v>687.90000000000009</v>
      </c>
      <c r="C10" s="220">
        <f>Lohnansatz!G27</f>
        <v>0</v>
      </c>
      <c r="D10" s="220">
        <f t="shared" si="0"/>
        <v>687.90000000000009</v>
      </c>
      <c r="E10" s="67">
        <f>Lohnkalk!L84</f>
        <v>11899.155005620525</v>
      </c>
      <c r="F10" s="67">
        <f ca="1">Lohnansatz!G17</f>
        <v>0</v>
      </c>
      <c r="G10" s="140">
        <f t="shared" ca="1" si="1"/>
        <v>11899.155005620525</v>
      </c>
      <c r="H10" s="140" t="s">
        <v>369</v>
      </c>
      <c r="I10" s="221">
        <f t="shared" ca="1" si="2"/>
        <v>18.948721778647791</v>
      </c>
      <c r="J10" s="15"/>
      <c r="K10" s="222">
        <f ca="1">I10*(1+GuV!C48/GuV!C47)*(1+Kultur!B92)</f>
        <v>28.189403523173038</v>
      </c>
      <c r="L10" s="27"/>
    </row>
    <row r="11" spans="1:12" x14ac:dyDescent="0.25">
      <c r="A11" t="str">
        <f>Lohnansatz!A18</f>
        <v>Objektgestaltung</v>
      </c>
      <c r="B11" s="220">
        <f>Lohnkalk!L76</f>
        <v>340.70000000000005</v>
      </c>
      <c r="C11" s="220">
        <f>Lohnansatz!G28</f>
        <v>0</v>
      </c>
      <c r="D11" s="220">
        <f t="shared" si="0"/>
        <v>340.70000000000005</v>
      </c>
      <c r="E11" s="67">
        <f>Lohnkalk!L85</f>
        <v>6481.8952825135921</v>
      </c>
      <c r="F11" s="67">
        <f ca="1">Lohnansatz!G18</f>
        <v>0</v>
      </c>
      <c r="G11" s="140">
        <f t="shared" ca="1" si="1"/>
        <v>6481.8952825135921</v>
      </c>
      <c r="H11" s="223" t="str">
        <f>A11</f>
        <v>Objektgestaltung</v>
      </c>
      <c r="I11" s="221">
        <f t="shared" ca="1" si="2"/>
        <v>20.841020637380044</v>
      </c>
      <c r="J11" s="230" t="s">
        <v>370</v>
      </c>
      <c r="K11" s="230"/>
      <c r="L11" s="230"/>
    </row>
    <row r="12" spans="1:12" x14ac:dyDescent="0.25">
      <c r="A12">
        <f>Lohnansatz!A19</f>
        <v>0</v>
      </c>
      <c r="B12" s="220">
        <f>Lohnkalk!L77</f>
        <v>0</v>
      </c>
      <c r="C12" s="220">
        <f>Lohnansatz!G29</f>
        <v>0</v>
      </c>
      <c r="D12" s="220">
        <f t="shared" si="0"/>
        <v>0</v>
      </c>
      <c r="E12" s="67">
        <f>Lohnkalk!L86</f>
        <v>0</v>
      </c>
      <c r="F12" s="67">
        <f ca="1">Lohnansatz!G19</f>
        <v>0</v>
      </c>
      <c r="G12" s="140">
        <f t="shared" ca="1" si="1"/>
        <v>0</v>
      </c>
      <c r="H12" s="223">
        <f>A12</f>
        <v>0</v>
      </c>
      <c r="I12" s="221">
        <f t="shared" si="2"/>
        <v>0</v>
      </c>
      <c r="J12" s="230"/>
      <c r="K12" s="230"/>
      <c r="L12" s="230"/>
    </row>
    <row r="13" spans="1:12" ht="13.5" customHeight="1" x14ac:dyDescent="0.25">
      <c r="A13" t="str">
        <f>A1</f>
        <v>Betriebsdurchschnittslohn</v>
      </c>
      <c r="B13" s="220"/>
      <c r="C13" s="220"/>
      <c r="D13" s="220"/>
      <c r="E13" s="67"/>
      <c r="F13" s="67"/>
      <c r="G13" s="140"/>
      <c r="H13" s="140" t="s">
        <v>354</v>
      </c>
      <c r="I13" s="199">
        <f ca="1">I15</f>
        <v>19.697451437527668</v>
      </c>
    </row>
    <row r="14" spans="1:12" x14ac:dyDescent="0.25">
      <c r="A14" t="s">
        <v>371</v>
      </c>
      <c r="B14" s="220">
        <f>Lohnkalk!L79</f>
        <v>808.40000000000043</v>
      </c>
      <c r="C14" s="220">
        <f>Lohnansatz!G22</f>
        <v>216</v>
      </c>
      <c r="D14" s="220">
        <f>SUM(B14:C14)</f>
        <v>1024.4000000000005</v>
      </c>
      <c r="E14" s="67">
        <f>Lohnkalk!L87</f>
        <v>11979.457574954271</v>
      </c>
      <c r="F14" s="67">
        <f ca="1">Lohnansatz!G37</f>
        <v>6274.4180999999999</v>
      </c>
      <c r="G14" s="140">
        <f ca="1">E14+F14</f>
        <v>18253.87567495427</v>
      </c>
      <c r="H14" s="140"/>
    </row>
    <row r="15" spans="1:12" x14ac:dyDescent="0.25">
      <c r="A15" t="s">
        <v>282</v>
      </c>
      <c r="B15" s="220">
        <f t="shared" ref="B15:G15" si="3">SUM(B6:B14)</f>
        <v>8517.7000000000007</v>
      </c>
      <c r="C15" s="220">
        <f t="shared" si="3"/>
        <v>3240</v>
      </c>
      <c r="D15" s="224">
        <f t="shared" si="3"/>
        <v>11757.7</v>
      </c>
      <c r="E15" s="67">
        <f t="shared" si="3"/>
        <v>132823.47451441578</v>
      </c>
      <c r="F15" s="67">
        <f t="shared" ca="1" si="3"/>
        <v>78595.180999999982</v>
      </c>
      <c r="G15" s="159">
        <f t="shared" ca="1" si="3"/>
        <v>211418.65551441573</v>
      </c>
      <c r="H15" s="225"/>
      <c r="I15" s="159">
        <f ca="1">IF(D15=0,0,(G15+G15*$F$17)/D15)</f>
        <v>19.697451437527668</v>
      </c>
    </row>
    <row r="16" spans="1:12" x14ac:dyDescent="0.25">
      <c r="I16" s="226" t="s">
        <v>354</v>
      </c>
    </row>
    <row r="17" spans="1:9" x14ac:dyDescent="0.25">
      <c r="A17" t="s">
        <v>372</v>
      </c>
      <c r="B17" s="227">
        <f>B14/B15</f>
        <v>9.4908249879662399E-2</v>
      </c>
      <c r="C17" s="227">
        <f>C14/C15</f>
        <v>6.6666666666666666E-2</v>
      </c>
      <c r="D17" s="227">
        <f>D14/D15</f>
        <v>8.7125883463602616E-2</v>
      </c>
      <c r="E17" s="228" t="s">
        <v>373</v>
      </c>
      <c r="F17" s="228">
        <f>D17/(1-D17)</f>
        <v>9.5441290190342254E-2</v>
      </c>
      <c r="H17" t="s">
        <v>374</v>
      </c>
      <c r="I17" s="125">
        <f ca="1">G15+G15*F17</f>
        <v>231596.7247670191</v>
      </c>
    </row>
  </sheetData>
  <sheetProtection algorithmName="SHA-512" hashValue="gQvL6ov6NxDuAU95MQZD2RsjsTXwZnV6mby3lW2AIaGS936ToaRlAkv4sZzCFEDg7JIzitXeohRBYQesUraGDg==" saltValue="UmvK7Qd8Z9nbtoySiu0TEw==" spinCount="100000" sheet="1" objects="1" scenarios="1" selectLockedCells="1"/>
  <mergeCells count="2">
    <mergeCell ref="J9:L9"/>
    <mergeCell ref="J11:L12"/>
  </mergeCells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5" sqref="B5"/>
    </sheetView>
  </sheetViews>
  <sheetFormatPr baseColWidth="10" defaultRowHeight="13.8" x14ac:dyDescent="0.25"/>
  <cols>
    <col min="1" max="1" width="25.8984375" customWidth="1"/>
    <col min="2" max="8" width="12.296875" customWidth="1"/>
    <col min="9" max="1024" width="7.8984375" customWidth="1"/>
  </cols>
  <sheetData>
    <row r="1" spans="1:7" ht="22.8" x14ac:dyDescent="0.4">
      <c r="A1" s="143" t="s">
        <v>375</v>
      </c>
      <c r="B1" s="215"/>
      <c r="C1" s="215"/>
      <c r="D1" s="215"/>
      <c r="E1" s="215"/>
      <c r="F1" s="144" t="s">
        <v>10</v>
      </c>
    </row>
    <row r="2" spans="1:7" x14ac:dyDescent="0.25">
      <c r="A2" s="231"/>
      <c r="B2" s="232" t="s">
        <v>376</v>
      </c>
      <c r="C2" s="233"/>
      <c r="D2" s="233"/>
      <c r="E2" s="233"/>
      <c r="F2" s="233"/>
      <c r="G2" s="234" t="s">
        <v>282</v>
      </c>
    </row>
    <row r="3" spans="1:7" x14ac:dyDescent="0.25">
      <c r="A3" s="231" t="s">
        <v>377</v>
      </c>
      <c r="B3" s="235">
        <v>63444</v>
      </c>
      <c r="C3" s="235"/>
      <c r="D3" s="235"/>
      <c r="E3" s="235"/>
      <c r="F3" s="235"/>
      <c r="G3" s="236">
        <f>SUM(B3:F3)</f>
        <v>63444</v>
      </c>
    </row>
    <row r="4" spans="1:7" x14ac:dyDescent="0.25">
      <c r="A4" s="231" t="s">
        <v>378</v>
      </c>
      <c r="B4" s="235">
        <v>0</v>
      </c>
      <c r="C4" s="235"/>
      <c r="D4" s="235"/>
      <c r="E4" s="235"/>
      <c r="F4" s="235"/>
    </row>
    <row r="5" spans="1:7" x14ac:dyDescent="0.25">
      <c r="A5" s="231" t="s">
        <v>379</v>
      </c>
      <c r="B5" s="235">
        <v>500</v>
      </c>
      <c r="C5" s="235"/>
      <c r="D5" s="235"/>
      <c r="E5" s="235"/>
      <c r="F5" s="235"/>
    </row>
    <row r="6" spans="1:7" x14ac:dyDescent="0.25">
      <c r="A6" s="231" t="s">
        <v>380</v>
      </c>
      <c r="B6" s="237">
        <v>25000</v>
      </c>
      <c r="C6" s="237"/>
      <c r="D6" s="237"/>
      <c r="E6" s="237"/>
      <c r="F6" s="237"/>
      <c r="G6" s="238">
        <f>SUM(B6:F6)</f>
        <v>25000</v>
      </c>
    </row>
    <row r="7" spans="1:7" x14ac:dyDescent="0.25">
      <c r="A7" s="231" t="s">
        <v>381</v>
      </c>
      <c r="B7" s="239">
        <v>0.3</v>
      </c>
      <c r="C7" s="239"/>
      <c r="D7" s="239"/>
      <c r="E7" s="239"/>
      <c r="F7" s="239"/>
    </row>
    <row r="8" spans="1:7" x14ac:dyDescent="0.25">
      <c r="A8" s="231" t="s">
        <v>382</v>
      </c>
      <c r="B8" s="240">
        <f ca="1">Bilanz!$H$19</f>
        <v>3.6324094616614191E-2</v>
      </c>
      <c r="C8" s="240">
        <f ca="1">Bilanz!$H$19</f>
        <v>3.6324094616614191E-2</v>
      </c>
      <c r="D8" s="240">
        <f ca="1">Bilanz!$H$19</f>
        <v>3.6324094616614191E-2</v>
      </c>
      <c r="E8" s="240">
        <f ca="1">Bilanz!$H$19</f>
        <v>3.6324094616614191E-2</v>
      </c>
      <c r="F8" s="240">
        <f ca="1">Bilanz!$H$19</f>
        <v>3.6324094616614191E-2</v>
      </c>
      <c r="G8" s="21"/>
    </row>
    <row r="9" spans="1:7" x14ac:dyDescent="0.25">
      <c r="A9" s="231" t="s">
        <v>383</v>
      </c>
      <c r="B9" s="241">
        <f>B6-(B6*B7)</f>
        <v>17500</v>
      </c>
      <c r="C9" s="241">
        <f>C6-(C6*C7)</f>
        <v>0</v>
      </c>
      <c r="D9" s="241">
        <f>D6-(D6*D7)</f>
        <v>0</v>
      </c>
      <c r="E9" s="241">
        <f>E6-(E6*E7)</f>
        <v>0</v>
      </c>
      <c r="F9" s="241">
        <f>F6-(F6*F7)</f>
        <v>0</v>
      </c>
      <c r="G9" s="238">
        <f>SUM(B9:F9)</f>
        <v>17500</v>
      </c>
    </row>
    <row r="10" spans="1:7" x14ac:dyDescent="0.25">
      <c r="A10" s="231"/>
      <c r="B10" s="232"/>
      <c r="C10" s="232"/>
      <c r="D10" s="232"/>
      <c r="E10" s="232"/>
      <c r="F10" s="232"/>
    </row>
    <row r="11" spans="1:7" x14ac:dyDescent="0.25">
      <c r="A11" s="231" t="s">
        <v>384</v>
      </c>
      <c r="B11" s="232"/>
      <c r="C11" s="232"/>
      <c r="D11" s="232"/>
      <c r="E11" s="232"/>
      <c r="F11" s="232"/>
    </row>
    <row r="12" spans="1:7" x14ac:dyDescent="0.25">
      <c r="A12" s="231" t="s">
        <v>385</v>
      </c>
      <c r="B12" s="232">
        <f ca="1">IF(B3=0,B4,(B3)/2*B8)</f>
        <v>1152.2729294282353</v>
      </c>
      <c r="C12" s="232">
        <f>IF(C3=0,C4,(C3)/2*C8)</f>
        <v>0</v>
      </c>
      <c r="D12" s="232">
        <f>IF(D3=0,D4,(D3)/2*D8)</f>
        <v>0</v>
      </c>
      <c r="E12" s="232">
        <f>IF(E3=0,E4,(E3)/2*E8)</f>
        <v>0</v>
      </c>
      <c r="F12" s="232">
        <f>IF(F3=0,F4,(F3)/2*F8)</f>
        <v>0</v>
      </c>
    </row>
    <row r="13" spans="1:7" x14ac:dyDescent="0.25">
      <c r="A13" s="231" t="str">
        <f t="shared" ref="A13:F13" si="0">A5</f>
        <v>Grundsteuer</v>
      </c>
      <c r="B13" s="232">
        <f t="shared" si="0"/>
        <v>500</v>
      </c>
      <c r="C13" s="232">
        <f t="shared" si="0"/>
        <v>0</v>
      </c>
      <c r="D13" s="232">
        <f t="shared" si="0"/>
        <v>0</v>
      </c>
      <c r="E13" s="232">
        <f t="shared" si="0"/>
        <v>0</v>
      </c>
      <c r="F13" s="232">
        <f t="shared" si="0"/>
        <v>0</v>
      </c>
    </row>
    <row r="14" spans="1:7" x14ac:dyDescent="0.25">
      <c r="A14" s="231"/>
      <c r="B14" s="232"/>
      <c r="C14" s="232"/>
      <c r="D14" s="232"/>
      <c r="E14" s="232"/>
      <c r="F14" s="232"/>
    </row>
    <row r="15" spans="1:7" x14ac:dyDescent="0.25">
      <c r="A15" s="242" t="s">
        <v>386</v>
      </c>
      <c r="B15" s="243">
        <f ca="1">SUM(B12:B13)</f>
        <v>1652.2729294282353</v>
      </c>
      <c r="C15" s="243">
        <f>SUM(C12:C13)</f>
        <v>0</v>
      </c>
      <c r="D15" s="243">
        <f>SUM(D12:D13)</f>
        <v>0</v>
      </c>
      <c r="E15" s="243">
        <f>SUM(E12:E13)</f>
        <v>0</v>
      </c>
      <c r="F15" s="243">
        <f>SUM(F12:F13)</f>
        <v>0</v>
      </c>
      <c r="G15" s="244">
        <f ca="1">SUM(B15:F15)</f>
        <v>1652.2729294282353</v>
      </c>
    </row>
    <row r="16" spans="1:7" x14ac:dyDescent="0.25">
      <c r="A16" s="242" t="s">
        <v>387</v>
      </c>
      <c r="B16" s="243">
        <f ca="1">B15/B9</f>
        <v>9.4415595967327737E-2</v>
      </c>
      <c r="C16" s="243" t="e">
        <f>C15/C9</f>
        <v>#DIV/0!</v>
      </c>
      <c r="D16" s="243" t="e">
        <f>D15/D9</f>
        <v>#DIV/0!</v>
      </c>
      <c r="E16" s="243" t="e">
        <f>E15/E9</f>
        <v>#DIV/0!</v>
      </c>
      <c r="F16" s="243" t="e">
        <f>F15/F9</f>
        <v>#DIV/0!</v>
      </c>
    </row>
    <row r="17" spans="1:9" x14ac:dyDescent="0.25">
      <c r="A17" s="245" t="s">
        <v>388</v>
      </c>
      <c r="B17" s="236">
        <f ca="1">B16/52</f>
        <v>1.8156845378332258E-3</v>
      </c>
      <c r="C17" s="236" t="e">
        <f>C16/52</f>
        <v>#DIV/0!</v>
      </c>
      <c r="D17" s="236" t="e">
        <f>D16/52</f>
        <v>#DIV/0!</v>
      </c>
      <c r="E17" s="236" t="e">
        <f>E16/52</f>
        <v>#DIV/0!</v>
      </c>
      <c r="F17" s="236" t="e">
        <f>F16/52</f>
        <v>#DIV/0!</v>
      </c>
    </row>
    <row r="18" spans="1:9" x14ac:dyDescent="0.25">
      <c r="A18" s="245" t="s">
        <v>389</v>
      </c>
      <c r="B18" s="236">
        <f ca="1">B16/365</f>
        <v>2.5867286566391159E-4</v>
      </c>
      <c r="C18" s="236" t="e">
        <f>C16/365</f>
        <v>#DIV/0!</v>
      </c>
      <c r="D18" s="236" t="e">
        <f>D16/365</f>
        <v>#DIV/0!</v>
      </c>
      <c r="E18" s="236" t="e">
        <f>E16/365</f>
        <v>#DIV/0!</v>
      </c>
      <c r="F18" s="236" t="e">
        <f>F16/365</f>
        <v>#DIV/0!</v>
      </c>
    </row>
    <row r="19" spans="1:9" x14ac:dyDescent="0.25">
      <c r="A19" s="5" t="s">
        <v>390</v>
      </c>
      <c r="B19" s="246">
        <v>52</v>
      </c>
      <c r="C19" s="246">
        <v>52</v>
      </c>
      <c r="D19" s="246">
        <v>52</v>
      </c>
      <c r="E19" s="246">
        <v>52</v>
      </c>
      <c r="F19" s="246">
        <v>52</v>
      </c>
      <c r="G19" s="139"/>
      <c r="H19" s="139"/>
      <c r="I19" s="139"/>
    </row>
    <row r="20" spans="1:9" x14ac:dyDescent="0.25">
      <c r="A20" s="139" t="s">
        <v>391</v>
      </c>
      <c r="B20" s="206">
        <f>B19*7</f>
        <v>364</v>
      </c>
      <c r="C20" s="206">
        <f>C19*7</f>
        <v>364</v>
      </c>
      <c r="D20" s="206">
        <f>D19*7</f>
        <v>364</v>
      </c>
      <c r="E20" s="206">
        <f>E19*7</f>
        <v>364</v>
      </c>
      <c r="F20" s="206">
        <f>F19*7</f>
        <v>364</v>
      </c>
    </row>
    <row r="21" spans="1:9" x14ac:dyDescent="0.25">
      <c r="A21" t="s">
        <v>392</v>
      </c>
      <c r="B21" s="236">
        <f ca="1">B16/B19</f>
        <v>1.8156845378332258E-3</v>
      </c>
      <c r="C21" s="236" t="e">
        <f>C16/C19</f>
        <v>#DIV/0!</v>
      </c>
      <c r="D21" s="236" t="e">
        <f>D16/D19</f>
        <v>#DIV/0!</v>
      </c>
      <c r="E21" s="236" t="e">
        <f>E16/E19</f>
        <v>#DIV/0!</v>
      </c>
      <c r="F21" s="236" t="e">
        <f>F16/F19</f>
        <v>#DIV/0!</v>
      </c>
    </row>
    <row r="22" spans="1:9" x14ac:dyDescent="0.25">
      <c r="A22" t="s">
        <v>393</v>
      </c>
      <c r="B22" s="236">
        <f ca="1">B16/B20</f>
        <v>2.593835054047465E-4</v>
      </c>
      <c r="C22" s="236" t="e">
        <f>C16/C20</f>
        <v>#DIV/0!</v>
      </c>
      <c r="D22" s="236" t="e">
        <f>D16/D20</f>
        <v>#DIV/0!</v>
      </c>
      <c r="E22" s="236" t="e">
        <f>E16/E20</f>
        <v>#DIV/0!</v>
      </c>
      <c r="F22" s="236" t="e">
        <f>F16/F20</f>
        <v>#DIV/0!</v>
      </c>
    </row>
    <row r="24" spans="1:9" x14ac:dyDescent="0.25">
      <c r="A24" t="s">
        <v>394</v>
      </c>
      <c r="B24" s="247"/>
    </row>
    <row r="25" spans="1:9" x14ac:dyDescent="0.25">
      <c r="A25" t="s">
        <v>395</v>
      </c>
      <c r="B25" s="236">
        <f ca="1">B24*B16</f>
        <v>0</v>
      </c>
    </row>
    <row r="26" spans="1:9" x14ac:dyDescent="0.25">
      <c r="A26" t="s">
        <v>396</v>
      </c>
      <c r="B26" s="236">
        <v>2.2091014090909099E-2</v>
      </c>
    </row>
    <row r="27" spans="1:9" s="8" customFormat="1" ht="13.2" x14ac:dyDescent="0.25">
      <c r="A27" s="248" t="s">
        <v>397</v>
      </c>
      <c r="B27" s="249">
        <f ca="1">B16+B26</f>
        <v>0.11650661005823684</v>
      </c>
    </row>
  </sheetData>
  <sheetProtection algorithmName="SHA-512" hashValue="KaNoVw6K0ZIT+SNYT1QEaGE9T9at7RZAvLK0FcIueIhXA2ZeWkNoINO6ellaFEcaGHXRt69VeNLysDPa1QyshQ==" saltValue="jPi6NbzX5jCIb2z8dwo5kA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3" sqref="C13"/>
    </sheetView>
  </sheetViews>
  <sheetFormatPr baseColWidth="10" defaultRowHeight="13.8" x14ac:dyDescent="0.25"/>
  <cols>
    <col min="1" max="1" width="24" customWidth="1"/>
    <col min="2" max="8" width="11.59765625" customWidth="1"/>
    <col min="9" max="1024" width="7.8984375" customWidth="1"/>
  </cols>
  <sheetData>
    <row r="1" spans="1:7" ht="21" x14ac:dyDescent="0.4">
      <c r="A1" s="2" t="s">
        <v>398</v>
      </c>
      <c r="B1" s="250"/>
      <c r="C1" s="250"/>
      <c r="D1" s="250"/>
      <c r="E1" s="250"/>
      <c r="F1" s="144" t="s">
        <v>10</v>
      </c>
    </row>
    <row r="2" spans="1:7" x14ac:dyDescent="0.25">
      <c r="A2" s="231"/>
      <c r="B2" s="233" t="s">
        <v>399</v>
      </c>
      <c r="C2" s="233" t="s">
        <v>364</v>
      </c>
      <c r="D2" s="233"/>
      <c r="E2" s="233"/>
      <c r="F2" s="233"/>
    </row>
    <row r="3" spans="1:7" x14ac:dyDescent="0.25">
      <c r="A3" s="231" t="s">
        <v>377</v>
      </c>
      <c r="B3" s="235">
        <v>150000</v>
      </c>
      <c r="C3" s="235">
        <v>60000</v>
      </c>
      <c r="D3" s="235"/>
      <c r="E3" s="235"/>
      <c r="F3" s="235"/>
    </row>
    <row r="4" spans="1:7" x14ac:dyDescent="0.25">
      <c r="A4" s="231" t="s">
        <v>400</v>
      </c>
      <c r="B4" s="251">
        <v>1980</v>
      </c>
      <c r="C4" s="251">
        <v>2005</v>
      </c>
      <c r="D4" s="251"/>
      <c r="E4" s="251"/>
      <c r="F4" s="251"/>
    </row>
    <row r="5" spans="1:7" x14ac:dyDescent="0.25">
      <c r="A5" s="231" t="s">
        <v>401</v>
      </c>
      <c r="B5" s="235"/>
      <c r="C5" s="235"/>
      <c r="D5" s="235"/>
      <c r="E5" s="235"/>
      <c r="F5" s="235"/>
    </row>
    <row r="6" spans="1:7" x14ac:dyDescent="0.25">
      <c r="A6" s="231" t="s">
        <v>402</v>
      </c>
      <c r="B6" s="252">
        <f ca="1">TODAY()</f>
        <v>44272</v>
      </c>
      <c r="C6" s="252">
        <f ca="1">TODAY()</f>
        <v>44272</v>
      </c>
      <c r="D6" s="252">
        <f ca="1">TODAY()</f>
        <v>44272</v>
      </c>
      <c r="E6" s="252">
        <f ca="1">TODAY()</f>
        <v>44272</v>
      </c>
      <c r="F6" s="252">
        <f ca="1">TODAY()</f>
        <v>44272</v>
      </c>
    </row>
    <row r="7" spans="1:7" x14ac:dyDescent="0.25">
      <c r="A7" s="231" t="s">
        <v>403</v>
      </c>
      <c r="B7" s="253">
        <f ca="1">IF(YEAR(B6)&gt;(B4+B9),0,B20)</f>
        <v>0</v>
      </c>
      <c r="C7" s="253">
        <f ca="1">IF(YEAR(C6)&gt;(C4+C9),0,C20)</f>
        <v>2400</v>
      </c>
      <c r="D7" s="253">
        <f ca="1">IF(YEAR(D6)&gt;(D4+D9),0,D20)</f>
        <v>0</v>
      </c>
      <c r="E7" s="253">
        <f ca="1">IF(YEAR(E6)&gt;(E4+E9),0,E20)</f>
        <v>0</v>
      </c>
      <c r="F7" s="253">
        <f ca="1">IF(YEAR(F6)&gt;(F4+F9),0,F20)</f>
        <v>0</v>
      </c>
      <c r="G7" s="254">
        <f ca="1">SUM(B7:F7)</f>
        <v>2400</v>
      </c>
    </row>
    <row r="8" spans="1:7" x14ac:dyDescent="0.25">
      <c r="A8" s="231" t="s">
        <v>404</v>
      </c>
      <c r="B8" s="255">
        <f ca="1">IF(B3=0,"",IF(YEAR(B6)-B4&gt;=B9,1,B3-(YEAR(B6)-B4)*B3/B9))</f>
        <v>1</v>
      </c>
      <c r="C8" s="255">
        <f ca="1">IF(C3=0,"",IF(YEAR(C6)-C4&gt;=C9,1,C3-(YEAR(C6)-C4)*C3/C9))</f>
        <v>21600</v>
      </c>
      <c r="D8" s="255" t="str">
        <f>IF(D3=0,"",IF(YEAR(D6)-D4&gt;=D9,1,D3-(YEAR(D6)-D4)*D3/D9))</f>
        <v/>
      </c>
      <c r="E8" s="255" t="str">
        <f>IF(E3=0,"",IF(YEAR(E6)-E4&gt;=E9,1,E3-(YEAR(E6)-E4)*E3/E9))</f>
        <v/>
      </c>
      <c r="F8" s="255" t="str">
        <f>IF(F3=0,"",IF(YEAR(F6)-F4&gt;=F9,1,F3-(YEAR(F6)-F4)*F3/F9))</f>
        <v/>
      </c>
      <c r="G8" s="244">
        <f ca="1">SUM(B8:F8)</f>
        <v>21601</v>
      </c>
    </row>
    <row r="9" spans="1:7" x14ac:dyDescent="0.25">
      <c r="A9" s="231" t="s">
        <v>405</v>
      </c>
      <c r="B9" s="256">
        <v>25</v>
      </c>
      <c r="C9" s="256">
        <v>25</v>
      </c>
      <c r="D9" s="256"/>
      <c r="E9" s="256"/>
      <c r="F9" s="256"/>
    </row>
    <row r="10" spans="1:7" x14ac:dyDescent="0.25">
      <c r="A10" s="231" t="s">
        <v>406</v>
      </c>
      <c r="B10" s="235">
        <v>500</v>
      </c>
      <c r="C10" s="235">
        <v>1500</v>
      </c>
      <c r="D10" s="235"/>
      <c r="E10" s="235"/>
      <c r="F10" s="235"/>
    </row>
    <row r="11" spans="1:7" x14ac:dyDescent="0.25">
      <c r="A11" s="231" t="s">
        <v>407</v>
      </c>
      <c r="B11" s="239">
        <v>0.02</v>
      </c>
      <c r="C11" s="257">
        <v>0.02</v>
      </c>
      <c r="D11" s="239"/>
      <c r="E11" s="239"/>
      <c r="F11" s="239"/>
    </row>
    <row r="12" spans="1:7" x14ac:dyDescent="0.25">
      <c r="A12" s="231" t="s">
        <v>380</v>
      </c>
      <c r="B12" s="258">
        <v>300</v>
      </c>
      <c r="C12" s="258">
        <v>120</v>
      </c>
      <c r="D12" s="258"/>
      <c r="E12" s="258"/>
      <c r="F12" s="258"/>
    </row>
    <row r="13" spans="1:7" x14ac:dyDescent="0.25">
      <c r="A13" s="231" t="s">
        <v>381</v>
      </c>
      <c r="B13" s="239">
        <v>0.3</v>
      </c>
      <c r="C13" s="239">
        <v>0</v>
      </c>
      <c r="D13" s="239"/>
      <c r="E13" s="239"/>
      <c r="F13" s="239"/>
    </row>
    <row r="14" spans="1:7" x14ac:dyDescent="0.25">
      <c r="A14" s="231" t="s">
        <v>382</v>
      </c>
      <c r="B14" s="240">
        <f ca="1">Boden!$B$8</f>
        <v>3.6324094616614191E-2</v>
      </c>
      <c r="C14" s="240">
        <f ca="1">Boden!$B$8</f>
        <v>3.6324094616614191E-2</v>
      </c>
      <c r="D14" s="240">
        <f ca="1">Boden!$B$8</f>
        <v>3.6324094616614191E-2</v>
      </c>
      <c r="E14" s="240">
        <f ca="1">Boden!$B$8</f>
        <v>3.6324094616614191E-2</v>
      </c>
      <c r="F14" s="240">
        <f ca="1">Boden!$B$8</f>
        <v>3.6324094616614191E-2</v>
      </c>
    </row>
    <row r="15" spans="1:7" x14ac:dyDescent="0.25">
      <c r="A15" s="231" t="s">
        <v>408</v>
      </c>
      <c r="B15" s="232">
        <f>IF(B9=0,0,(B3-B5)/B9)</f>
        <v>6000</v>
      </c>
      <c r="C15" s="232">
        <f>IF(C9=0,0,(C3-C5)/C9)</f>
        <v>2400</v>
      </c>
      <c r="D15" s="232">
        <f>IF(D9=0,0,(D3-D5)/D9)</f>
        <v>0</v>
      </c>
      <c r="E15" s="232">
        <f>IF(E9=0,0,(E3-E5)/E9)</f>
        <v>0</v>
      </c>
      <c r="F15" s="232">
        <f>IF(F9=0,0,(F3-F5)/F9)</f>
        <v>0</v>
      </c>
      <c r="G15" s="244">
        <f>SUM(B15:F15)</f>
        <v>8400</v>
      </c>
    </row>
    <row r="16" spans="1:7" x14ac:dyDescent="0.25">
      <c r="A16" s="231" t="s">
        <v>383</v>
      </c>
      <c r="B16" s="241">
        <f>B12-(B12*B13)</f>
        <v>210</v>
      </c>
      <c r="C16" s="241">
        <f>C12-(C12*C13)</f>
        <v>120</v>
      </c>
      <c r="D16" s="241">
        <f>D12-(D12*D13)</f>
        <v>0</v>
      </c>
      <c r="E16" s="241">
        <f>E12-(E12*E13)</f>
        <v>0</v>
      </c>
      <c r="F16" s="241">
        <f>F12-(F12*F13)</f>
        <v>0</v>
      </c>
    </row>
    <row r="17" spans="1:7" ht="4.5" customHeight="1" x14ac:dyDescent="0.25">
      <c r="A17" s="231"/>
      <c r="B17" s="232"/>
      <c r="C17" s="232"/>
      <c r="D17" s="232"/>
      <c r="E17" s="232"/>
      <c r="F17" s="232"/>
    </row>
    <row r="18" spans="1:7" x14ac:dyDescent="0.25">
      <c r="A18" s="231" t="s">
        <v>384</v>
      </c>
      <c r="B18" s="232"/>
      <c r="C18" s="232"/>
      <c r="D18" s="232"/>
      <c r="E18" s="232"/>
      <c r="F18" s="232"/>
    </row>
    <row r="19" spans="1:7" x14ac:dyDescent="0.25">
      <c r="A19" s="231" t="s">
        <v>385</v>
      </c>
      <c r="B19" s="232">
        <f ca="1">(B3+B5)/2*B14</f>
        <v>2724.3070962460642</v>
      </c>
      <c r="C19" s="232">
        <f ca="1">(C3+C5)/2*C14</f>
        <v>1089.7228384984257</v>
      </c>
      <c r="D19" s="232">
        <f ca="1">(D3+D5)/2*D14</f>
        <v>0</v>
      </c>
      <c r="E19" s="232">
        <f ca="1">(E3+E5)/2*E14</f>
        <v>0</v>
      </c>
      <c r="F19" s="232">
        <f ca="1">(F3+F5)/2*F14</f>
        <v>0</v>
      </c>
    </row>
    <row r="20" spans="1:7" x14ac:dyDescent="0.25">
      <c r="A20" s="231" t="s">
        <v>409</v>
      </c>
      <c r="B20" s="232">
        <f>B15</f>
        <v>6000</v>
      </c>
      <c r="C20" s="232">
        <f>C15</f>
        <v>2400</v>
      </c>
      <c r="D20" s="232">
        <f>D15</f>
        <v>0</v>
      </c>
      <c r="E20" s="232">
        <f>E15</f>
        <v>0</v>
      </c>
      <c r="F20" s="232">
        <f>F15</f>
        <v>0</v>
      </c>
      <c r="G20" s="259"/>
    </row>
    <row r="21" spans="1:7" x14ac:dyDescent="0.25">
      <c r="A21" s="231" t="s">
        <v>375</v>
      </c>
      <c r="B21" s="232">
        <f ca="1">B12*Boden!$B$27</f>
        <v>34.951983017471051</v>
      </c>
      <c r="C21" s="232">
        <f ca="1">C12*Boden!$B$27</f>
        <v>13.980793206988421</v>
      </c>
      <c r="D21" s="232">
        <f ca="1">D12*Boden!$B$27</f>
        <v>0</v>
      </c>
      <c r="E21" s="232">
        <f ca="1">E12*Boden!$B$27</f>
        <v>0</v>
      </c>
      <c r="F21" s="232">
        <f ca="1">F12*Boden!$B$27</f>
        <v>0</v>
      </c>
    </row>
    <row r="22" spans="1:7" x14ac:dyDescent="0.25">
      <c r="A22" s="231" t="s">
        <v>406</v>
      </c>
      <c r="B22" s="232">
        <f>B10</f>
        <v>500</v>
      </c>
      <c r="C22" s="232">
        <f>C10</f>
        <v>1500</v>
      </c>
      <c r="D22" s="232">
        <f>D10</f>
        <v>0</v>
      </c>
      <c r="E22" s="232">
        <f>E10</f>
        <v>0</v>
      </c>
      <c r="F22" s="232">
        <f>F10</f>
        <v>0</v>
      </c>
      <c r="G22" s="244">
        <f>SUM(B22:F22)</f>
        <v>2000</v>
      </c>
    </row>
    <row r="23" spans="1:7" x14ac:dyDescent="0.25">
      <c r="A23" s="231" t="s">
        <v>410</v>
      </c>
      <c r="B23" s="232">
        <f>B11*B3</f>
        <v>3000</v>
      </c>
      <c r="C23" s="232">
        <f>C11*C3</f>
        <v>1200</v>
      </c>
      <c r="D23" s="232">
        <f>D11*D3</f>
        <v>0</v>
      </c>
      <c r="E23" s="232">
        <f>E11*E3</f>
        <v>0</v>
      </c>
      <c r="F23" s="232">
        <f>F11*F3</f>
        <v>0</v>
      </c>
      <c r="G23" s="244">
        <f>SUM(B23:F23)</f>
        <v>4200</v>
      </c>
    </row>
    <row r="24" spans="1:7" ht="5.25" customHeight="1" x14ac:dyDescent="0.25">
      <c r="A24" s="231"/>
      <c r="B24" s="232"/>
      <c r="C24" s="232"/>
      <c r="D24" s="232"/>
      <c r="E24" s="232"/>
      <c r="F24" s="232"/>
    </row>
    <row r="25" spans="1:7" x14ac:dyDescent="0.25">
      <c r="A25" s="242" t="s">
        <v>386</v>
      </c>
      <c r="B25" s="243">
        <f ca="1">SUM(B19:B23)</f>
        <v>12259.259079263535</v>
      </c>
      <c r="C25" s="243">
        <f ca="1">SUM(C19:C23)</f>
        <v>6203.7036317054135</v>
      </c>
      <c r="D25" s="243">
        <f ca="1">SUM(D19:D23)</f>
        <v>0</v>
      </c>
      <c r="E25" s="243">
        <f ca="1">SUM(E19:E23)</f>
        <v>0</v>
      </c>
      <c r="F25" s="260">
        <f ca="1">SUM(F19:F23)</f>
        <v>0</v>
      </c>
      <c r="G25" s="244">
        <f ca="1">SUM(B25:F25)</f>
        <v>18462.962710968946</v>
      </c>
    </row>
    <row r="26" spans="1:7" x14ac:dyDescent="0.25">
      <c r="A26" s="242" t="s">
        <v>387</v>
      </c>
      <c r="B26" s="243">
        <f ca="1">IF(B16=0,0,B25/B16)</f>
        <v>58.377424186969215</v>
      </c>
      <c r="C26" s="243">
        <f ca="1">IF(C16=0,0,C25/C16)</f>
        <v>51.697530264211778</v>
      </c>
      <c r="D26" s="243">
        <f>IF(D16=0,0,D25/D16)</f>
        <v>0</v>
      </c>
      <c r="E26" s="243">
        <f>IF(E16=0,0,E25/E16)</f>
        <v>0</v>
      </c>
      <c r="F26" s="243">
        <f>IF(F16=0,0,F25/F16)</f>
        <v>0</v>
      </c>
    </row>
    <row r="27" spans="1:7" x14ac:dyDescent="0.25">
      <c r="A27" s="245" t="s">
        <v>388</v>
      </c>
      <c r="B27" s="236">
        <f ca="1">B26/52</f>
        <v>1.1226427728263311</v>
      </c>
      <c r="C27" s="236">
        <f ca="1">C26/52</f>
        <v>0.99418327431176501</v>
      </c>
      <c r="D27" s="236">
        <f>D26/52</f>
        <v>0</v>
      </c>
      <c r="E27" s="236">
        <f>E26/52</f>
        <v>0</v>
      </c>
      <c r="F27" s="236">
        <f>F26/52</f>
        <v>0</v>
      </c>
    </row>
    <row r="28" spans="1:7" x14ac:dyDescent="0.25">
      <c r="A28" s="245" t="s">
        <v>389</v>
      </c>
      <c r="B28" s="236">
        <f ca="1">B26/365</f>
        <v>0.15993814845744991</v>
      </c>
      <c r="C28" s="236">
        <f ca="1">C26/365</f>
        <v>0.14163706921701857</v>
      </c>
      <c r="D28" s="236">
        <f>D26/365</f>
        <v>0</v>
      </c>
      <c r="E28" s="236">
        <f>E26/365</f>
        <v>0</v>
      </c>
      <c r="F28" s="236">
        <f>F26/365</f>
        <v>0</v>
      </c>
    </row>
    <row r="29" spans="1:7" x14ac:dyDescent="0.25">
      <c r="A29" s="139" t="s">
        <v>390</v>
      </c>
      <c r="B29" s="246">
        <v>52</v>
      </c>
      <c r="C29" s="246">
        <v>52</v>
      </c>
      <c r="D29" s="246"/>
      <c r="E29" s="246"/>
      <c r="F29" s="246"/>
    </row>
    <row r="30" spans="1:7" x14ac:dyDescent="0.25">
      <c r="A30" s="139" t="s">
        <v>391</v>
      </c>
      <c r="B30" s="261">
        <f>B29*7</f>
        <v>364</v>
      </c>
      <c r="C30" s="261">
        <f>C29*7</f>
        <v>364</v>
      </c>
      <c r="D30" s="261">
        <f>D29*7</f>
        <v>0</v>
      </c>
      <c r="E30" s="261">
        <f>E29*7</f>
        <v>0</v>
      </c>
      <c r="F30" s="261">
        <f>F29*7</f>
        <v>0</v>
      </c>
    </row>
    <row r="31" spans="1:7" x14ac:dyDescent="0.25">
      <c r="A31" t="s">
        <v>392</v>
      </c>
      <c r="B31" s="236">
        <f ca="1">IF(B29=0,0,B26/B29)</f>
        <v>1.1226427728263311</v>
      </c>
      <c r="C31" s="236">
        <f ca="1">IF(C29=0,0,C26/C29)</f>
        <v>0.99418327431176501</v>
      </c>
      <c r="D31" s="236">
        <f>IF(D29=0,0,D26/D29)</f>
        <v>0</v>
      </c>
      <c r="E31" s="236">
        <f>IF(E29=0,0,E26/E29)</f>
        <v>0</v>
      </c>
      <c r="F31" s="236">
        <f>IF(F29=0,0,F26/F29)</f>
        <v>0</v>
      </c>
    </row>
    <row r="32" spans="1:7" x14ac:dyDescent="0.25">
      <c r="A32" t="s">
        <v>393</v>
      </c>
      <c r="B32" s="236">
        <f ca="1">IF(B30=0,0,B26/B30)</f>
        <v>0.16037753897519014</v>
      </c>
      <c r="C32" s="236">
        <f ca="1">IF(C30=0,0,C26/C30)</f>
        <v>0.14202618204453785</v>
      </c>
      <c r="D32" s="236">
        <f>IF(D30=0,0,D26/D30)</f>
        <v>0</v>
      </c>
      <c r="E32" s="236">
        <f>IF(E30=0,0,E26/E30)</f>
        <v>0</v>
      </c>
      <c r="F32" s="236">
        <f>IF(F30=0,0,F26/F30)</f>
        <v>0</v>
      </c>
    </row>
    <row r="34" spans="1:1" x14ac:dyDescent="0.25">
      <c r="A34" t="s">
        <v>411</v>
      </c>
    </row>
  </sheetData>
  <sheetProtection algorithmName="SHA-512" hashValue="hEj+EKPSgPrgrDjPWQl/CP0yYqiGtaVBXrHQPK3qfhvs06jCZYzqs4NEuil4cprUNWU76i9e/3cNBER5on71pQ==" saltValue="ThPTT/Wlc9KCuYq1CoaMNw==" spinCount="100000" sheet="1" objects="1" scenarios="1" selectLockedCells="1"/>
  <pageMargins left="0.74803149606299213" right="0.74803149606299213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6</vt:i4>
      </vt:variant>
    </vt:vector>
  </HeadingPairs>
  <TitlesOfParts>
    <vt:vector size="22" baseType="lpstr">
      <vt:lpstr>Allgemein</vt:lpstr>
      <vt:lpstr>Struktur</vt:lpstr>
      <vt:lpstr>Bilanz</vt:lpstr>
      <vt:lpstr>GuV</vt:lpstr>
      <vt:lpstr>Lohnansatz</vt:lpstr>
      <vt:lpstr>Lohnkalk</vt:lpstr>
      <vt:lpstr>BDL</vt:lpstr>
      <vt:lpstr>Boden</vt:lpstr>
      <vt:lpstr>Gebäude</vt:lpstr>
      <vt:lpstr>Planung GHK</vt:lpstr>
      <vt:lpstr>Gewächshäuser</vt:lpstr>
      <vt:lpstr>EK-Maschinen</vt:lpstr>
      <vt:lpstr>Fuhrpark</vt:lpstr>
      <vt:lpstr>Arbeit&amp;Material</vt:lpstr>
      <vt:lpstr>Heiz</vt:lpstr>
      <vt:lpstr>Kultur</vt:lpstr>
      <vt:lpstr>Arbeitskräfte</vt:lpstr>
      <vt:lpstr>Arbeitsleistungen</vt:lpstr>
      <vt:lpstr>Excel_BuiltIn__FilterDatabase_14</vt:lpstr>
      <vt:lpstr>Gewächshaus</vt:lpstr>
      <vt:lpstr>Maschinen</vt:lpstr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Dieck</dc:creator>
  <cp:lastModifiedBy>Martin Dieck</cp:lastModifiedBy>
  <cp:revision>3</cp:revision>
  <dcterms:created xsi:type="dcterms:W3CDTF">2021-03-17T06:33:31Z</dcterms:created>
  <dcterms:modified xsi:type="dcterms:W3CDTF">2021-03-17T06:36:40Z</dcterms:modified>
</cp:coreProperties>
</file>